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2416"/>
  <workbookPr showInkAnnotation="0" autoCompressPictures="0"/>
  <bookViews>
    <workbookView xWindow="3780" yWindow="0" windowWidth="21940" windowHeight="13720" tabRatio="500"/>
  </bookViews>
  <sheets>
    <sheet name="Sheet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2" i="1" l="1"/>
  <c r="X2" i="1"/>
  <c r="G3" i="1"/>
  <c r="X3" i="1"/>
  <c r="D4" i="1"/>
  <c r="X4" i="1"/>
  <c r="D5" i="1"/>
  <c r="X5" i="1"/>
  <c r="D6" i="1"/>
  <c r="X6" i="1"/>
  <c r="D7" i="1"/>
  <c r="X7" i="1"/>
  <c r="D8" i="1"/>
  <c r="X8" i="1"/>
  <c r="D9" i="1"/>
  <c r="G9" i="1"/>
  <c r="X9" i="1"/>
  <c r="D10" i="1"/>
  <c r="G10" i="1"/>
  <c r="X10" i="1"/>
  <c r="D11" i="1"/>
  <c r="G11" i="1"/>
  <c r="X11" i="1"/>
  <c r="D12" i="1"/>
  <c r="G12" i="1"/>
  <c r="X12" i="1"/>
  <c r="D13" i="1"/>
  <c r="H13" i="1"/>
  <c r="G13" i="1"/>
  <c r="X13" i="1"/>
  <c r="D14" i="1"/>
  <c r="G14" i="1"/>
  <c r="X14" i="1"/>
  <c r="G15" i="1"/>
  <c r="X15" i="1"/>
  <c r="D16" i="1"/>
  <c r="X16" i="1"/>
  <c r="D17" i="1"/>
  <c r="G17" i="1"/>
  <c r="X17" i="1"/>
  <c r="D18" i="1"/>
  <c r="H18" i="1"/>
  <c r="G18" i="1"/>
  <c r="X18" i="1"/>
  <c r="D19" i="1"/>
  <c r="G19" i="1"/>
  <c r="X19" i="1"/>
  <c r="D20" i="1"/>
  <c r="X20" i="1"/>
  <c r="D21" i="1"/>
  <c r="H21" i="1"/>
  <c r="G21" i="1"/>
  <c r="X21" i="1"/>
  <c r="X22" i="1"/>
  <c r="D23" i="1"/>
  <c r="X23" i="1"/>
  <c r="D24" i="1"/>
  <c r="X24" i="1"/>
  <c r="D25" i="1"/>
  <c r="X25" i="1"/>
  <c r="D26" i="1"/>
  <c r="G26" i="1"/>
  <c r="X26" i="1"/>
  <c r="D27" i="1"/>
  <c r="G27" i="1"/>
  <c r="X27" i="1"/>
  <c r="D28" i="1"/>
  <c r="G28" i="1"/>
  <c r="X28" i="1"/>
  <c r="D29" i="1"/>
  <c r="G29" i="1"/>
  <c r="X29" i="1"/>
  <c r="D30" i="1"/>
  <c r="X30" i="1"/>
  <c r="D31" i="1"/>
  <c r="X31" i="1"/>
  <c r="D32" i="1"/>
  <c r="G32" i="1"/>
  <c r="X32" i="1"/>
  <c r="D33" i="1"/>
  <c r="G33" i="1"/>
  <c r="X33" i="1"/>
  <c r="D34" i="1"/>
  <c r="H34" i="1"/>
  <c r="G34" i="1"/>
  <c r="X34" i="1"/>
  <c r="D35" i="1"/>
  <c r="H35" i="1"/>
  <c r="G35" i="1"/>
  <c r="X35" i="1"/>
  <c r="D36" i="1"/>
  <c r="H36" i="1"/>
  <c r="G36" i="1"/>
  <c r="X36" i="1"/>
  <c r="D37" i="1"/>
  <c r="X37" i="1"/>
  <c r="D38" i="1"/>
  <c r="X38" i="1"/>
  <c r="D39" i="1"/>
  <c r="X39" i="1"/>
  <c r="D40" i="1"/>
  <c r="X40" i="1"/>
  <c r="D41" i="1"/>
  <c r="H41" i="1"/>
  <c r="G41" i="1"/>
  <c r="X41" i="1"/>
  <c r="D42" i="1"/>
  <c r="H42" i="1"/>
  <c r="G42" i="1"/>
  <c r="X42" i="1"/>
  <c r="D43" i="1"/>
  <c r="H43" i="1"/>
  <c r="G43" i="1"/>
  <c r="X43" i="1"/>
  <c r="D44" i="1"/>
  <c r="X44" i="1"/>
  <c r="D45" i="1"/>
  <c r="H45" i="1"/>
  <c r="G45" i="1"/>
  <c r="X45" i="1"/>
  <c r="D46" i="1"/>
  <c r="X46" i="1"/>
  <c r="D47" i="1"/>
  <c r="H47" i="1"/>
  <c r="G47" i="1"/>
  <c r="X47" i="1"/>
  <c r="H48" i="1"/>
  <c r="G48" i="1"/>
  <c r="X48" i="1"/>
  <c r="D49" i="1"/>
  <c r="X49" i="1"/>
  <c r="D50" i="1"/>
  <c r="H50" i="1"/>
  <c r="G50" i="1"/>
  <c r="X50" i="1"/>
  <c r="D51" i="1"/>
  <c r="H51" i="1"/>
  <c r="G51" i="1"/>
  <c r="X51" i="1"/>
  <c r="X52" i="1"/>
  <c r="BO3" i="1"/>
  <c r="BQ3" i="1"/>
  <c r="AT52" i="1"/>
  <c r="AK2" i="1"/>
  <c r="AK3" i="1"/>
  <c r="AK4" i="1"/>
  <c r="AK5" i="1"/>
  <c r="AK6" i="1"/>
  <c r="AK7" i="1"/>
  <c r="AK8" i="1"/>
  <c r="AK9" i="1"/>
  <c r="AK10" i="1"/>
  <c r="AK11" i="1"/>
  <c r="AK12" i="1"/>
  <c r="AK13" i="1"/>
  <c r="AK14" i="1"/>
  <c r="AK15" i="1"/>
  <c r="AK16" i="1"/>
  <c r="AK17" i="1"/>
  <c r="AK18" i="1"/>
  <c r="AK19" i="1"/>
  <c r="AK20" i="1"/>
  <c r="AK21" i="1"/>
  <c r="AK22" i="1"/>
  <c r="AK23" i="1"/>
  <c r="AK24" i="1"/>
  <c r="AK25" i="1"/>
  <c r="AK26" i="1"/>
  <c r="AK27" i="1"/>
  <c r="AK29" i="1"/>
  <c r="AK30" i="1"/>
  <c r="AK31" i="1"/>
  <c r="AK32" i="1"/>
  <c r="AK33" i="1"/>
  <c r="AK34" i="1"/>
  <c r="AK35" i="1"/>
  <c r="AK36" i="1"/>
  <c r="AK37" i="1"/>
  <c r="AK38" i="1"/>
  <c r="AK39" i="1"/>
  <c r="AK40" i="1"/>
  <c r="AK41" i="1"/>
  <c r="AK42" i="1"/>
  <c r="AK43" i="1"/>
  <c r="AK44" i="1"/>
  <c r="AK45" i="1"/>
  <c r="AK46" i="1"/>
  <c r="AK47" i="1"/>
  <c r="AK48" i="1"/>
  <c r="AK49" i="1"/>
  <c r="AK50" i="1"/>
  <c r="AK51" i="1"/>
  <c r="AK52" i="1"/>
  <c r="AJ2" i="1"/>
  <c r="AJ3" i="1"/>
  <c r="AJ4" i="1"/>
  <c r="AJ5" i="1"/>
  <c r="AJ6" i="1"/>
  <c r="AJ7" i="1"/>
  <c r="AJ8" i="1"/>
  <c r="AJ9" i="1"/>
  <c r="AJ10" i="1"/>
  <c r="AJ11" i="1"/>
  <c r="AJ12" i="1"/>
  <c r="AJ13" i="1"/>
  <c r="AJ14" i="1"/>
  <c r="AJ15" i="1"/>
  <c r="AJ16" i="1"/>
  <c r="AJ17" i="1"/>
  <c r="AJ18" i="1"/>
  <c r="AJ19" i="1"/>
  <c r="AJ20" i="1"/>
  <c r="AJ21" i="1"/>
  <c r="AJ22" i="1"/>
  <c r="AJ23" i="1"/>
  <c r="AJ24" i="1"/>
  <c r="AJ25" i="1"/>
  <c r="AJ26" i="1"/>
  <c r="AJ27" i="1"/>
  <c r="AJ28" i="1"/>
  <c r="AJ29" i="1"/>
  <c r="AJ30" i="1"/>
  <c r="AJ31" i="1"/>
  <c r="AJ32" i="1"/>
  <c r="AJ33" i="1"/>
  <c r="AJ34" i="1"/>
  <c r="AJ35" i="1"/>
  <c r="AJ36" i="1"/>
  <c r="AJ37" i="1"/>
  <c r="AJ38" i="1"/>
  <c r="AJ39" i="1"/>
  <c r="AJ40" i="1"/>
  <c r="AJ41" i="1"/>
  <c r="AJ42" i="1"/>
  <c r="AJ43" i="1"/>
  <c r="AJ44" i="1"/>
  <c r="AJ45" i="1"/>
  <c r="AJ46" i="1"/>
  <c r="AJ47" i="1"/>
  <c r="AJ48" i="1"/>
  <c r="AJ49" i="1"/>
  <c r="AJ50" i="1"/>
  <c r="AJ51" i="1"/>
  <c r="AJ52" i="1"/>
  <c r="AI2" i="1"/>
  <c r="AI3" i="1"/>
  <c r="AI4" i="1"/>
  <c r="AI5" i="1"/>
  <c r="AI6" i="1"/>
  <c r="AI7" i="1"/>
  <c r="AI8" i="1"/>
  <c r="AI9" i="1"/>
  <c r="AI10" i="1"/>
  <c r="AI11" i="1"/>
  <c r="AI12" i="1"/>
  <c r="AI13" i="1"/>
  <c r="AI14" i="1"/>
  <c r="AI15" i="1"/>
  <c r="AI16" i="1"/>
  <c r="AI17" i="1"/>
  <c r="AI18" i="1"/>
  <c r="AI19" i="1"/>
  <c r="AI20" i="1"/>
  <c r="AI21" i="1"/>
  <c r="AI22" i="1"/>
  <c r="AI23" i="1"/>
  <c r="AI24" i="1"/>
  <c r="AI25" i="1"/>
  <c r="AI26" i="1"/>
  <c r="AI27" i="1"/>
  <c r="AI28" i="1"/>
  <c r="AI29" i="1"/>
  <c r="AI30" i="1"/>
  <c r="AI31" i="1"/>
  <c r="AI32" i="1"/>
  <c r="AI33" i="1"/>
  <c r="AI34" i="1"/>
  <c r="AI35" i="1"/>
  <c r="AI36" i="1"/>
  <c r="AI37" i="1"/>
  <c r="AI38" i="1"/>
  <c r="AI39" i="1"/>
  <c r="AI40" i="1"/>
  <c r="AI41" i="1"/>
  <c r="AI42" i="1"/>
  <c r="AI43" i="1"/>
  <c r="AI44" i="1"/>
  <c r="AI45" i="1"/>
  <c r="AI46" i="1"/>
  <c r="AI47" i="1"/>
  <c r="AI48" i="1"/>
  <c r="AI49" i="1"/>
  <c r="AI50" i="1"/>
  <c r="AI51" i="1"/>
  <c r="AI52" i="1"/>
  <c r="P2" i="1"/>
  <c r="AH2" i="1"/>
  <c r="P3" i="1"/>
  <c r="AH3" i="1"/>
  <c r="P4" i="1"/>
  <c r="AH4" i="1"/>
  <c r="P5" i="1"/>
  <c r="AH5" i="1"/>
  <c r="P6" i="1"/>
  <c r="AH6" i="1"/>
  <c r="P7" i="1"/>
  <c r="AH7" i="1"/>
  <c r="P8" i="1"/>
  <c r="AH8" i="1"/>
  <c r="P9" i="1"/>
  <c r="AH9" i="1"/>
  <c r="P10" i="1"/>
  <c r="AH10" i="1"/>
  <c r="P11" i="1"/>
  <c r="AH11" i="1"/>
  <c r="P12" i="1"/>
  <c r="AH12" i="1"/>
  <c r="P13" i="1"/>
  <c r="AH13" i="1"/>
  <c r="P14" i="1"/>
  <c r="AH14" i="1"/>
  <c r="P15" i="1"/>
  <c r="AH15" i="1"/>
  <c r="P16" i="1"/>
  <c r="AH16" i="1"/>
  <c r="P17" i="1"/>
  <c r="AH17" i="1"/>
  <c r="P18" i="1"/>
  <c r="AH18" i="1"/>
  <c r="P19" i="1"/>
  <c r="AH19" i="1"/>
  <c r="P20" i="1"/>
  <c r="AH20" i="1"/>
  <c r="P21" i="1"/>
  <c r="AH21" i="1"/>
  <c r="P22" i="1"/>
  <c r="AH22" i="1"/>
  <c r="P23" i="1"/>
  <c r="AH23" i="1"/>
  <c r="P24" i="1"/>
  <c r="AH24" i="1"/>
  <c r="P25" i="1"/>
  <c r="AH25" i="1"/>
  <c r="P26" i="1"/>
  <c r="AH26" i="1"/>
  <c r="P27" i="1"/>
  <c r="AH27" i="1"/>
  <c r="P28" i="1"/>
  <c r="AH28" i="1"/>
  <c r="P29" i="1"/>
  <c r="AH29" i="1"/>
  <c r="P30" i="1"/>
  <c r="AH30" i="1"/>
  <c r="P31" i="1"/>
  <c r="AH31" i="1"/>
  <c r="P32" i="1"/>
  <c r="AH32" i="1"/>
  <c r="P33" i="1"/>
  <c r="AH33" i="1"/>
  <c r="P34" i="1"/>
  <c r="AH34" i="1"/>
  <c r="AH35" i="1"/>
  <c r="P36" i="1"/>
  <c r="AH36" i="1"/>
  <c r="P37" i="1"/>
  <c r="AH37" i="1"/>
  <c r="P38" i="1"/>
  <c r="AH38" i="1"/>
  <c r="P39" i="1"/>
  <c r="AH39" i="1"/>
  <c r="P40" i="1"/>
  <c r="AH40" i="1"/>
  <c r="P41" i="1"/>
  <c r="AH41" i="1"/>
  <c r="P42" i="1"/>
  <c r="AH42" i="1"/>
  <c r="P43" i="1"/>
  <c r="AH43" i="1"/>
  <c r="P44" i="1"/>
  <c r="AH44" i="1"/>
  <c r="P45" i="1"/>
  <c r="AH45" i="1"/>
  <c r="AH46" i="1"/>
  <c r="P47" i="1"/>
  <c r="AH47" i="1"/>
  <c r="P48" i="1"/>
  <c r="AH48" i="1"/>
  <c r="P49" i="1"/>
  <c r="AH49" i="1"/>
  <c r="P50" i="1"/>
  <c r="AH50" i="1"/>
  <c r="AH51" i="1"/>
  <c r="AH52" i="1"/>
  <c r="O2" i="1"/>
  <c r="AG2" i="1"/>
  <c r="O3" i="1"/>
  <c r="AG3" i="1"/>
  <c r="O4" i="1"/>
  <c r="AG4" i="1"/>
  <c r="O5" i="1"/>
  <c r="AG5" i="1"/>
  <c r="O6" i="1"/>
  <c r="AG6" i="1"/>
  <c r="O7" i="1"/>
  <c r="AG7" i="1"/>
  <c r="O8" i="1"/>
  <c r="AG8" i="1"/>
  <c r="O9" i="1"/>
  <c r="AG9" i="1"/>
  <c r="O10" i="1"/>
  <c r="AG10" i="1"/>
  <c r="O11" i="1"/>
  <c r="AG11" i="1"/>
  <c r="O12" i="1"/>
  <c r="AG12" i="1"/>
  <c r="O13" i="1"/>
  <c r="AG13" i="1"/>
  <c r="O14" i="1"/>
  <c r="AG14" i="1"/>
  <c r="O15" i="1"/>
  <c r="AG15" i="1"/>
  <c r="O16" i="1"/>
  <c r="AG16" i="1"/>
  <c r="O17" i="1"/>
  <c r="AG17" i="1"/>
  <c r="O18" i="1"/>
  <c r="AG18" i="1"/>
  <c r="O19" i="1"/>
  <c r="AG19" i="1"/>
  <c r="O20" i="1"/>
  <c r="AG20" i="1"/>
  <c r="O21" i="1"/>
  <c r="AG21" i="1"/>
  <c r="O22" i="1"/>
  <c r="AG22" i="1"/>
  <c r="O23" i="1"/>
  <c r="AG23" i="1"/>
  <c r="O24" i="1"/>
  <c r="AG24" i="1"/>
  <c r="O25" i="1"/>
  <c r="AG25" i="1"/>
  <c r="O26" i="1"/>
  <c r="AG26" i="1"/>
  <c r="O27" i="1"/>
  <c r="AG27" i="1"/>
  <c r="O28" i="1"/>
  <c r="AG28" i="1"/>
  <c r="O29" i="1"/>
  <c r="AG29" i="1"/>
  <c r="O30" i="1"/>
  <c r="AG30" i="1"/>
  <c r="O31" i="1"/>
  <c r="AG31" i="1"/>
  <c r="O32" i="1"/>
  <c r="AG32" i="1"/>
  <c r="O33" i="1"/>
  <c r="AG33" i="1"/>
  <c r="O34" i="1"/>
  <c r="AG34" i="1"/>
  <c r="O35" i="1"/>
  <c r="AG35" i="1"/>
  <c r="O36" i="1"/>
  <c r="AG36" i="1"/>
  <c r="O37" i="1"/>
  <c r="AG37" i="1"/>
  <c r="O38" i="1"/>
  <c r="AG38" i="1"/>
  <c r="O39" i="1"/>
  <c r="AG39" i="1"/>
  <c r="O40" i="1"/>
  <c r="AG40" i="1"/>
  <c r="O41" i="1"/>
  <c r="AG41" i="1"/>
  <c r="O42" i="1"/>
  <c r="AG42" i="1"/>
  <c r="O43" i="1"/>
  <c r="AG43" i="1"/>
  <c r="O44" i="1"/>
  <c r="AG44" i="1"/>
  <c r="O45" i="1"/>
  <c r="AG45" i="1"/>
  <c r="O46" i="1"/>
  <c r="AG46" i="1"/>
  <c r="O47" i="1"/>
  <c r="AG47" i="1"/>
  <c r="O48" i="1"/>
  <c r="AG48" i="1"/>
  <c r="O49" i="1"/>
  <c r="AG49" i="1"/>
  <c r="O50" i="1"/>
  <c r="AG50" i="1"/>
  <c r="O51" i="1"/>
  <c r="AG51" i="1"/>
  <c r="AG52" i="1"/>
  <c r="AF2" i="1"/>
  <c r="AF3" i="1"/>
  <c r="N4" i="1"/>
  <c r="AF4" i="1"/>
  <c r="N5" i="1"/>
  <c r="AF5" i="1"/>
  <c r="N6" i="1"/>
  <c r="AF6" i="1"/>
  <c r="N7" i="1"/>
  <c r="AF7" i="1"/>
  <c r="N8" i="1"/>
  <c r="AF8" i="1"/>
  <c r="N9" i="1"/>
  <c r="AF9" i="1"/>
  <c r="N10" i="1"/>
  <c r="AF10" i="1"/>
  <c r="N11" i="1"/>
  <c r="AF11" i="1"/>
  <c r="N12" i="1"/>
  <c r="AF12" i="1"/>
  <c r="N13" i="1"/>
  <c r="AF13" i="1"/>
  <c r="N14" i="1"/>
  <c r="AF14" i="1"/>
  <c r="N15" i="1"/>
  <c r="AF15" i="1"/>
  <c r="N16" i="1"/>
  <c r="AF16" i="1"/>
  <c r="N17" i="1"/>
  <c r="AF17" i="1"/>
  <c r="N18" i="1"/>
  <c r="AF18" i="1"/>
  <c r="N19" i="1"/>
  <c r="AF19" i="1"/>
  <c r="N20" i="1"/>
  <c r="AF20" i="1"/>
  <c r="N21" i="1"/>
  <c r="AF21" i="1"/>
  <c r="N22" i="1"/>
  <c r="AF22" i="1"/>
  <c r="N23" i="1"/>
  <c r="AF23" i="1"/>
  <c r="N24" i="1"/>
  <c r="AF24" i="1"/>
  <c r="N25" i="1"/>
  <c r="AF25" i="1"/>
  <c r="N26" i="1"/>
  <c r="AF26" i="1"/>
  <c r="N27" i="1"/>
  <c r="AF27" i="1"/>
  <c r="N28" i="1"/>
  <c r="AF28" i="1"/>
  <c r="N29" i="1"/>
  <c r="AF29" i="1"/>
  <c r="N30" i="1"/>
  <c r="AF30" i="1"/>
  <c r="N31" i="1"/>
  <c r="AF31" i="1"/>
  <c r="N32" i="1"/>
  <c r="AF32" i="1"/>
  <c r="N33" i="1"/>
  <c r="AF33" i="1"/>
  <c r="N34" i="1"/>
  <c r="AF34" i="1"/>
  <c r="N35" i="1"/>
  <c r="AF35" i="1"/>
  <c r="N36" i="1"/>
  <c r="AF36" i="1"/>
  <c r="N37" i="1"/>
  <c r="AF37" i="1"/>
  <c r="N38" i="1"/>
  <c r="AF38" i="1"/>
  <c r="N39" i="1"/>
  <c r="AF39" i="1"/>
  <c r="N40" i="1"/>
  <c r="AF40" i="1"/>
  <c r="N41" i="1"/>
  <c r="AF41" i="1"/>
  <c r="N42" i="1"/>
  <c r="AF42" i="1"/>
  <c r="N43" i="1"/>
  <c r="AF43" i="1"/>
  <c r="N44" i="1"/>
  <c r="AF44" i="1"/>
  <c r="N45" i="1"/>
  <c r="AF45" i="1"/>
  <c r="AF46" i="1"/>
  <c r="N47" i="1"/>
  <c r="AF47" i="1"/>
  <c r="N48" i="1"/>
  <c r="AF48" i="1"/>
  <c r="N49" i="1"/>
  <c r="AF49" i="1"/>
  <c r="N50" i="1"/>
  <c r="AF50" i="1"/>
  <c r="AF51" i="1"/>
  <c r="AF52" i="1"/>
  <c r="Q2" i="1"/>
  <c r="AE2" i="1"/>
  <c r="H3" i="1"/>
  <c r="Q3" i="1"/>
  <c r="AE3" i="1"/>
  <c r="Q4" i="1"/>
  <c r="AE4" i="1"/>
  <c r="Q5" i="1"/>
  <c r="AE5" i="1"/>
  <c r="Q6" i="1"/>
  <c r="AE6" i="1"/>
  <c r="Q7" i="1"/>
  <c r="AE7" i="1"/>
  <c r="Q8" i="1"/>
  <c r="AE8" i="1"/>
  <c r="Q9" i="1"/>
  <c r="AE9" i="1"/>
  <c r="Q10" i="1"/>
  <c r="AE10" i="1"/>
  <c r="H11" i="1"/>
  <c r="Q11" i="1"/>
  <c r="AE11" i="1"/>
  <c r="H12" i="1"/>
  <c r="Q12" i="1"/>
  <c r="AE12" i="1"/>
  <c r="Q13" i="1"/>
  <c r="AE13" i="1"/>
  <c r="H14" i="1"/>
  <c r="Q14" i="1"/>
  <c r="AE14" i="1"/>
  <c r="H15" i="1"/>
  <c r="Q15" i="1"/>
  <c r="AE15" i="1"/>
  <c r="Q16" i="1"/>
  <c r="AE16" i="1"/>
  <c r="H17" i="1"/>
  <c r="Q17" i="1"/>
  <c r="AE17" i="1"/>
  <c r="Q18" i="1"/>
  <c r="AE18" i="1"/>
  <c r="M19" i="1"/>
  <c r="H19" i="1"/>
  <c r="Q19" i="1"/>
  <c r="AE19" i="1"/>
  <c r="Q20" i="1"/>
  <c r="AE20" i="1"/>
  <c r="Q21" i="1"/>
  <c r="AE21" i="1"/>
  <c r="Q22" i="1"/>
  <c r="AE22" i="1"/>
  <c r="Q23" i="1"/>
  <c r="AE23" i="1"/>
  <c r="Q24" i="1"/>
  <c r="AE24" i="1"/>
  <c r="Q25" i="1"/>
  <c r="AE25" i="1"/>
  <c r="H26" i="1"/>
  <c r="Q26" i="1"/>
  <c r="AE26" i="1"/>
  <c r="H27" i="1"/>
  <c r="Q27" i="1"/>
  <c r="AE27" i="1"/>
  <c r="H28" i="1"/>
  <c r="Q28" i="1"/>
  <c r="AE28" i="1"/>
  <c r="H29" i="1"/>
  <c r="Q29" i="1"/>
  <c r="AE29" i="1"/>
  <c r="Q30" i="1"/>
  <c r="AE30" i="1"/>
  <c r="Q31" i="1"/>
  <c r="AE31" i="1"/>
  <c r="H32" i="1"/>
  <c r="Q32" i="1"/>
  <c r="AE32" i="1"/>
  <c r="M33" i="1"/>
  <c r="H33" i="1"/>
  <c r="Q33" i="1"/>
  <c r="AE33" i="1"/>
  <c r="Q34" i="1"/>
  <c r="AE34" i="1"/>
  <c r="Q35" i="1"/>
  <c r="AE35" i="1"/>
  <c r="Q36" i="1"/>
  <c r="AE36" i="1"/>
  <c r="Q37" i="1"/>
  <c r="AE37" i="1"/>
  <c r="Q38" i="1"/>
  <c r="AE38" i="1"/>
  <c r="Q39" i="1"/>
  <c r="AE39" i="1"/>
  <c r="Q40" i="1"/>
  <c r="AE40" i="1"/>
  <c r="Q41" i="1"/>
  <c r="AE41" i="1"/>
  <c r="Q42" i="1"/>
  <c r="AE42" i="1"/>
  <c r="Q43" i="1"/>
  <c r="AE43" i="1"/>
  <c r="Q44" i="1"/>
  <c r="AE44" i="1"/>
  <c r="Q45" i="1"/>
  <c r="AE45" i="1"/>
  <c r="Q46" i="1"/>
  <c r="AE46" i="1"/>
  <c r="Q47" i="1"/>
  <c r="AE47" i="1"/>
  <c r="Q48" i="1"/>
  <c r="AE48" i="1"/>
  <c r="Q49" i="1"/>
  <c r="AE49" i="1"/>
  <c r="Q50" i="1"/>
  <c r="AE50" i="1"/>
  <c r="Q51" i="1"/>
  <c r="AE51" i="1"/>
  <c r="AE52" i="1"/>
  <c r="AD2" i="1"/>
  <c r="AD3" i="1"/>
  <c r="AD4" i="1"/>
  <c r="AD5" i="1"/>
  <c r="AD6" i="1"/>
  <c r="AD7" i="1"/>
  <c r="AD8" i="1"/>
  <c r="AD9" i="1"/>
  <c r="AD10" i="1"/>
  <c r="AD11" i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D25" i="1"/>
  <c r="AD26" i="1"/>
  <c r="AD27" i="1"/>
  <c r="AD28" i="1"/>
  <c r="AD29" i="1"/>
  <c r="AD30" i="1"/>
  <c r="AD31" i="1"/>
  <c r="L32" i="1"/>
  <c r="AD32" i="1"/>
  <c r="L33" i="1"/>
  <c r="AD33" i="1"/>
  <c r="AD34" i="1"/>
  <c r="AD35" i="1"/>
  <c r="AD36" i="1"/>
  <c r="AD37" i="1"/>
  <c r="AD38" i="1"/>
  <c r="AD39" i="1"/>
  <c r="AD40" i="1"/>
  <c r="AD41" i="1"/>
  <c r="AD42" i="1"/>
  <c r="AD43" i="1"/>
  <c r="AD44" i="1"/>
  <c r="AD45" i="1"/>
  <c r="AD46" i="1"/>
  <c r="AD47" i="1"/>
  <c r="AD48" i="1"/>
  <c r="AD49" i="1"/>
  <c r="AD50" i="1"/>
  <c r="AD51" i="1"/>
  <c r="AD52" i="1"/>
  <c r="AC2" i="1"/>
  <c r="AC3" i="1"/>
  <c r="AC4" i="1"/>
  <c r="AC5" i="1"/>
  <c r="J6" i="1"/>
  <c r="AC6" i="1"/>
  <c r="J7" i="1"/>
  <c r="AC7" i="1"/>
  <c r="J8" i="1"/>
  <c r="AC8" i="1"/>
  <c r="J9" i="1"/>
  <c r="AC9" i="1"/>
  <c r="J10" i="1"/>
  <c r="AC10" i="1"/>
  <c r="J11" i="1"/>
  <c r="AC11" i="1"/>
  <c r="J12" i="1"/>
  <c r="AC12" i="1"/>
  <c r="J13" i="1"/>
  <c r="AC13" i="1"/>
  <c r="J14" i="1"/>
  <c r="AC14" i="1"/>
  <c r="J15" i="1"/>
  <c r="AC15" i="1"/>
  <c r="J16" i="1"/>
  <c r="AC16" i="1"/>
  <c r="J17" i="1"/>
  <c r="AC17" i="1"/>
  <c r="J18" i="1"/>
  <c r="AC18" i="1"/>
  <c r="J19" i="1"/>
  <c r="AC19" i="1"/>
  <c r="J20" i="1"/>
  <c r="AC20" i="1"/>
  <c r="J21" i="1"/>
  <c r="AC21" i="1"/>
  <c r="J22" i="1"/>
  <c r="AC22" i="1"/>
  <c r="AC23" i="1"/>
  <c r="J24" i="1"/>
  <c r="AC24" i="1"/>
  <c r="AC25" i="1"/>
  <c r="J26" i="1"/>
  <c r="AC26" i="1"/>
  <c r="J27" i="1"/>
  <c r="AC27" i="1"/>
  <c r="J28" i="1"/>
  <c r="AC28" i="1"/>
  <c r="J29" i="1"/>
  <c r="AC29" i="1"/>
  <c r="J30" i="1"/>
  <c r="AC30" i="1"/>
  <c r="J31" i="1"/>
  <c r="AC31" i="1"/>
  <c r="I32" i="1"/>
  <c r="J32" i="1"/>
  <c r="AC32" i="1"/>
  <c r="I33" i="1"/>
  <c r="K33" i="1"/>
  <c r="J33" i="1"/>
  <c r="AC33" i="1"/>
  <c r="J34" i="1"/>
  <c r="AC34" i="1"/>
  <c r="J35" i="1"/>
  <c r="AC35" i="1"/>
  <c r="J36" i="1"/>
  <c r="AC36" i="1"/>
  <c r="J37" i="1"/>
  <c r="AC37" i="1"/>
  <c r="J38" i="1"/>
  <c r="AC38" i="1"/>
  <c r="J39" i="1"/>
  <c r="AC39" i="1"/>
  <c r="J40" i="1"/>
  <c r="AC40" i="1"/>
  <c r="J41" i="1"/>
  <c r="AC41" i="1"/>
  <c r="J42" i="1"/>
  <c r="AC42" i="1"/>
  <c r="J43" i="1"/>
  <c r="AC43" i="1"/>
  <c r="J44" i="1"/>
  <c r="AC44" i="1"/>
  <c r="J45" i="1"/>
  <c r="AC45" i="1"/>
  <c r="J46" i="1"/>
  <c r="AC46" i="1"/>
  <c r="J47" i="1"/>
  <c r="AC47" i="1"/>
  <c r="J48" i="1"/>
  <c r="AC48" i="1"/>
  <c r="J49" i="1"/>
  <c r="AC49" i="1"/>
  <c r="J50" i="1"/>
  <c r="AC50" i="1"/>
  <c r="J51" i="1"/>
  <c r="AC51" i="1"/>
  <c r="AC52" i="1"/>
  <c r="AB2" i="1"/>
  <c r="AB3" i="1"/>
  <c r="R4" i="1"/>
  <c r="AB4" i="1"/>
  <c r="R5" i="1"/>
  <c r="AB5" i="1"/>
  <c r="R6" i="1"/>
  <c r="AB6" i="1"/>
  <c r="R7" i="1"/>
  <c r="AB7" i="1"/>
  <c r="R8" i="1"/>
  <c r="AB8" i="1"/>
  <c r="R9" i="1"/>
  <c r="AB9" i="1"/>
  <c r="R10" i="1"/>
  <c r="AB10" i="1"/>
  <c r="R11" i="1"/>
  <c r="AB11" i="1"/>
  <c r="R12" i="1"/>
  <c r="AB12" i="1"/>
  <c r="R13" i="1"/>
  <c r="AB13" i="1"/>
  <c r="R14" i="1"/>
  <c r="AB14" i="1"/>
  <c r="R15" i="1"/>
  <c r="AB15" i="1"/>
  <c r="R16" i="1"/>
  <c r="AB16" i="1"/>
  <c r="R17" i="1"/>
  <c r="AB17" i="1"/>
  <c r="R18" i="1"/>
  <c r="AB18" i="1"/>
  <c r="R19" i="1"/>
  <c r="AB19" i="1"/>
  <c r="R20" i="1"/>
  <c r="AB20" i="1"/>
  <c r="R21" i="1"/>
  <c r="AB21" i="1"/>
  <c r="R22" i="1"/>
  <c r="AB22" i="1"/>
  <c r="R23" i="1"/>
  <c r="AB23" i="1"/>
  <c r="R24" i="1"/>
  <c r="AB24" i="1"/>
  <c r="R25" i="1"/>
  <c r="AB25" i="1"/>
  <c r="R26" i="1"/>
  <c r="AB26" i="1"/>
  <c r="R27" i="1"/>
  <c r="AB27" i="1"/>
  <c r="R28" i="1"/>
  <c r="AB28" i="1"/>
  <c r="R29" i="1"/>
  <c r="AB29" i="1"/>
  <c r="R30" i="1"/>
  <c r="AB30" i="1"/>
  <c r="R31" i="1"/>
  <c r="AB31" i="1"/>
  <c r="R32" i="1"/>
  <c r="AB32" i="1"/>
  <c r="R33" i="1"/>
  <c r="AB33" i="1"/>
  <c r="R34" i="1"/>
  <c r="AB34" i="1"/>
  <c r="AB35" i="1"/>
  <c r="R36" i="1"/>
  <c r="AB36" i="1"/>
  <c r="R37" i="1"/>
  <c r="AB37" i="1"/>
  <c r="R38" i="1"/>
  <c r="AB38" i="1"/>
  <c r="R39" i="1"/>
  <c r="AB39" i="1"/>
  <c r="R40" i="1"/>
  <c r="AB40" i="1"/>
  <c r="R41" i="1"/>
  <c r="AB41" i="1"/>
  <c r="R42" i="1"/>
  <c r="AB42" i="1"/>
  <c r="R43" i="1"/>
  <c r="AB43" i="1"/>
  <c r="R44" i="1"/>
  <c r="AB44" i="1"/>
  <c r="R45" i="1"/>
  <c r="AB45" i="1"/>
  <c r="AB46" i="1"/>
  <c r="R47" i="1"/>
  <c r="AB47" i="1"/>
  <c r="R48" i="1"/>
  <c r="AB48" i="1"/>
  <c r="R49" i="1"/>
  <c r="AB49" i="1"/>
  <c r="R50" i="1"/>
  <c r="AB50" i="1"/>
  <c r="AB51" i="1"/>
  <c r="AB52" i="1"/>
  <c r="AA2" i="1"/>
  <c r="AA3" i="1"/>
  <c r="AA4" i="1"/>
  <c r="AA5" i="1"/>
  <c r="AA6" i="1"/>
  <c r="AA7" i="1"/>
  <c r="AA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30" i="1"/>
  <c r="AA31" i="1"/>
  <c r="AA32" i="1"/>
  <c r="AA33" i="1"/>
  <c r="AA34" i="1"/>
  <c r="AA35" i="1"/>
  <c r="AA36" i="1"/>
  <c r="AA37" i="1"/>
  <c r="AA38" i="1"/>
  <c r="AA39" i="1"/>
  <c r="AA40" i="1"/>
  <c r="AA41" i="1"/>
  <c r="AA42" i="1"/>
  <c r="AA43" i="1"/>
  <c r="AA44" i="1"/>
  <c r="AA45" i="1"/>
  <c r="AA46" i="1"/>
  <c r="AA47" i="1"/>
  <c r="AA48" i="1"/>
  <c r="AA49" i="1"/>
  <c r="AA50" i="1"/>
  <c r="AA51" i="1"/>
  <c r="AA52" i="1"/>
  <c r="F2" i="1"/>
  <c r="Z2" i="1"/>
  <c r="E3" i="1"/>
  <c r="F3" i="1"/>
  <c r="Z3" i="1"/>
  <c r="Z4" i="1"/>
  <c r="Z5" i="1"/>
  <c r="Z6" i="1"/>
  <c r="Z7" i="1"/>
  <c r="Z8" i="1"/>
  <c r="E9" i="1"/>
  <c r="F9" i="1"/>
  <c r="Z9" i="1"/>
  <c r="E10" i="1"/>
  <c r="F10" i="1"/>
  <c r="Z10" i="1"/>
  <c r="E11" i="1"/>
  <c r="F11" i="1"/>
  <c r="Z11" i="1"/>
  <c r="E12" i="1"/>
  <c r="F12" i="1"/>
  <c r="Z12" i="1"/>
  <c r="F13" i="1"/>
  <c r="Z13" i="1"/>
  <c r="F14" i="1"/>
  <c r="Z14" i="1"/>
  <c r="F15" i="1"/>
  <c r="Z15" i="1"/>
  <c r="Z16" i="1"/>
  <c r="E17" i="1"/>
  <c r="F17" i="1"/>
  <c r="Z17" i="1"/>
  <c r="Z18" i="1"/>
  <c r="F19" i="1"/>
  <c r="Z19" i="1"/>
  <c r="Z20" i="1"/>
  <c r="E21" i="1"/>
  <c r="F21" i="1"/>
  <c r="Z21" i="1"/>
  <c r="Z22" i="1"/>
  <c r="Z23" i="1"/>
  <c r="Z24" i="1"/>
  <c r="Z25" i="1"/>
  <c r="E26" i="1"/>
  <c r="F26" i="1"/>
  <c r="Z26" i="1"/>
  <c r="F27" i="1"/>
  <c r="Z27" i="1"/>
  <c r="E28" i="1"/>
  <c r="F28" i="1"/>
  <c r="Z28" i="1"/>
  <c r="E29" i="1"/>
  <c r="F29" i="1"/>
  <c r="Z29" i="1"/>
  <c r="Z30" i="1"/>
  <c r="Z31" i="1"/>
  <c r="F32" i="1"/>
  <c r="Z32" i="1"/>
  <c r="E33" i="1"/>
  <c r="F33" i="1"/>
  <c r="Z33" i="1"/>
  <c r="E34" i="1"/>
  <c r="F34" i="1"/>
  <c r="Z34" i="1"/>
  <c r="F35" i="1"/>
  <c r="Z35" i="1"/>
  <c r="E36" i="1"/>
  <c r="F36" i="1"/>
  <c r="Z36" i="1"/>
  <c r="Z37" i="1"/>
  <c r="Z38" i="1"/>
  <c r="Z39" i="1"/>
  <c r="Z40" i="1"/>
  <c r="Z41" i="1"/>
  <c r="E42" i="1"/>
  <c r="F42" i="1"/>
  <c r="Z42" i="1"/>
  <c r="Z43" i="1"/>
  <c r="Z44" i="1"/>
  <c r="E45" i="1"/>
  <c r="F45" i="1"/>
  <c r="Z45" i="1"/>
  <c r="Z46" i="1"/>
  <c r="E47" i="1"/>
  <c r="F47" i="1"/>
  <c r="Z47" i="1"/>
  <c r="E48" i="1"/>
  <c r="F48" i="1"/>
  <c r="Z48" i="1"/>
  <c r="Z49" i="1"/>
  <c r="E50" i="1"/>
  <c r="F50" i="1"/>
  <c r="Z50" i="1"/>
  <c r="E51" i="1"/>
  <c r="F51" i="1"/>
  <c r="Z51" i="1"/>
  <c r="Z52" i="1"/>
  <c r="Y2" i="1"/>
  <c r="Y3" i="1"/>
  <c r="E4" i="1"/>
  <c r="Y4" i="1"/>
  <c r="E5" i="1"/>
  <c r="Y5" i="1"/>
  <c r="E6" i="1"/>
  <c r="Y6" i="1"/>
  <c r="E7" i="1"/>
  <c r="Y7" i="1"/>
  <c r="E8" i="1"/>
  <c r="Y8" i="1"/>
  <c r="Y9" i="1"/>
  <c r="Y10" i="1"/>
  <c r="Y11" i="1"/>
  <c r="Y12" i="1"/>
  <c r="E13" i="1"/>
  <c r="Y13" i="1"/>
  <c r="E14" i="1"/>
  <c r="Y14" i="1"/>
  <c r="E15" i="1"/>
  <c r="Y15" i="1"/>
  <c r="E16" i="1"/>
  <c r="Y16" i="1"/>
  <c r="Y17" i="1"/>
  <c r="E18" i="1"/>
  <c r="Y18" i="1"/>
  <c r="E19" i="1"/>
  <c r="Y19" i="1"/>
  <c r="E20" i="1"/>
  <c r="Y20" i="1"/>
  <c r="Y21" i="1"/>
  <c r="E22" i="1"/>
  <c r="Y22" i="1"/>
  <c r="E23" i="1"/>
  <c r="Y23" i="1"/>
  <c r="E24" i="1"/>
  <c r="Y24" i="1"/>
  <c r="E25" i="1"/>
  <c r="Y25" i="1"/>
  <c r="Y26" i="1"/>
  <c r="E27" i="1"/>
  <c r="Y27" i="1"/>
  <c r="Y28" i="1"/>
  <c r="Y29" i="1"/>
  <c r="E30" i="1"/>
  <c r="Y30" i="1"/>
  <c r="E31" i="1"/>
  <c r="Y31" i="1"/>
  <c r="E32" i="1"/>
  <c r="Y32" i="1"/>
  <c r="Y33" i="1"/>
  <c r="Y34" i="1"/>
  <c r="E35" i="1"/>
  <c r="Y35" i="1"/>
  <c r="Y36" i="1"/>
  <c r="E37" i="1"/>
  <c r="Y37" i="1"/>
  <c r="E38" i="1"/>
  <c r="Y38" i="1"/>
  <c r="E39" i="1"/>
  <c r="Y39" i="1"/>
  <c r="E40" i="1"/>
  <c r="Y40" i="1"/>
  <c r="E41" i="1"/>
  <c r="Y41" i="1"/>
  <c r="Y42" i="1"/>
  <c r="E43" i="1"/>
  <c r="Y43" i="1"/>
  <c r="E44" i="1"/>
  <c r="Y44" i="1"/>
  <c r="Y45" i="1"/>
  <c r="E46" i="1"/>
  <c r="Y46" i="1"/>
  <c r="Y47" i="1"/>
  <c r="Y48" i="1"/>
  <c r="E49" i="1"/>
  <c r="Y49" i="1"/>
  <c r="Y50" i="1"/>
  <c r="Y51" i="1"/>
  <c r="Y52" i="1"/>
  <c r="U52" i="1"/>
  <c r="T52" i="1"/>
  <c r="Q52" i="1"/>
  <c r="H52" i="1"/>
  <c r="BO13" i="1"/>
  <c r="BQ13" i="1"/>
  <c r="BL51" i="1"/>
  <c r="BO12" i="1"/>
  <c r="BQ12" i="1"/>
  <c r="BK51" i="1"/>
  <c r="BO11" i="1"/>
  <c r="BQ11" i="1"/>
  <c r="BJ51" i="1"/>
  <c r="BO10" i="1"/>
  <c r="BQ10" i="1"/>
  <c r="BI51" i="1"/>
  <c r="BO9" i="1"/>
  <c r="BQ9" i="1"/>
  <c r="BH51" i="1"/>
  <c r="AS51" i="1"/>
  <c r="AS2" i="1"/>
  <c r="AS3" i="1"/>
  <c r="AS4" i="1"/>
  <c r="AS5" i="1"/>
  <c r="AS6" i="1"/>
  <c r="AS7" i="1"/>
  <c r="AS8" i="1"/>
  <c r="AS9" i="1"/>
  <c r="AS10" i="1"/>
  <c r="AS11" i="1"/>
  <c r="AS12" i="1"/>
  <c r="AS13" i="1"/>
  <c r="AS14" i="1"/>
  <c r="AS15" i="1"/>
  <c r="AS16" i="1"/>
  <c r="AS17" i="1"/>
  <c r="AS18" i="1"/>
  <c r="AS19" i="1"/>
  <c r="AS20" i="1"/>
  <c r="AS21" i="1"/>
  <c r="AS22" i="1"/>
  <c r="AS23" i="1"/>
  <c r="AS24" i="1"/>
  <c r="AS25" i="1"/>
  <c r="AS26" i="1"/>
  <c r="AS27" i="1"/>
  <c r="AS29" i="1"/>
  <c r="AS30" i="1"/>
  <c r="AS31" i="1"/>
  <c r="AS32" i="1"/>
  <c r="AS33" i="1"/>
  <c r="AS34" i="1"/>
  <c r="AS35" i="1"/>
  <c r="AS36" i="1"/>
  <c r="AS37" i="1"/>
  <c r="AS38" i="1"/>
  <c r="AS39" i="1"/>
  <c r="AS40" i="1"/>
  <c r="AS41" i="1"/>
  <c r="AS42" i="1"/>
  <c r="AS43" i="1"/>
  <c r="AS44" i="1"/>
  <c r="AS45" i="1"/>
  <c r="AS46" i="1"/>
  <c r="AS47" i="1"/>
  <c r="AS48" i="1"/>
  <c r="AS49" i="1"/>
  <c r="AS50" i="1"/>
  <c r="BO24" i="1"/>
  <c r="BQ24" i="1"/>
  <c r="BG51" i="1"/>
  <c r="AR51" i="1"/>
  <c r="AR2" i="1"/>
  <c r="AR3" i="1"/>
  <c r="AR4" i="1"/>
  <c r="AR5" i="1"/>
  <c r="AR6" i="1"/>
  <c r="AR7" i="1"/>
  <c r="AR8" i="1"/>
  <c r="AR9" i="1"/>
  <c r="AR10" i="1"/>
  <c r="AR11" i="1"/>
  <c r="AR12" i="1"/>
  <c r="AR13" i="1"/>
  <c r="AR14" i="1"/>
  <c r="AR15" i="1"/>
  <c r="AR16" i="1"/>
  <c r="AR17" i="1"/>
  <c r="AR18" i="1"/>
  <c r="AR19" i="1"/>
  <c r="AR20" i="1"/>
  <c r="AR21" i="1"/>
  <c r="AR22" i="1"/>
  <c r="AR23" i="1"/>
  <c r="AR24" i="1"/>
  <c r="AR25" i="1"/>
  <c r="AR26" i="1"/>
  <c r="AR27" i="1"/>
  <c r="AR28" i="1"/>
  <c r="AR29" i="1"/>
  <c r="AR30" i="1"/>
  <c r="AR31" i="1"/>
  <c r="AR32" i="1"/>
  <c r="AR33" i="1"/>
  <c r="AR34" i="1"/>
  <c r="AR35" i="1"/>
  <c r="AR36" i="1"/>
  <c r="AR37" i="1"/>
  <c r="AR38" i="1"/>
  <c r="AR39" i="1"/>
  <c r="AR40" i="1"/>
  <c r="AR41" i="1"/>
  <c r="AR42" i="1"/>
  <c r="AR43" i="1"/>
  <c r="AR44" i="1"/>
  <c r="AR45" i="1"/>
  <c r="AR46" i="1"/>
  <c r="AR47" i="1"/>
  <c r="AR48" i="1"/>
  <c r="AR49" i="1"/>
  <c r="AR50" i="1"/>
  <c r="BO23" i="1"/>
  <c r="BQ23" i="1"/>
  <c r="BF51" i="1"/>
  <c r="AQ51" i="1"/>
  <c r="AQ2" i="1"/>
  <c r="AQ3" i="1"/>
  <c r="AQ4" i="1"/>
  <c r="AQ5" i="1"/>
  <c r="AQ6" i="1"/>
  <c r="AQ7" i="1"/>
  <c r="AQ8" i="1"/>
  <c r="AQ9" i="1"/>
  <c r="AQ10" i="1"/>
  <c r="AQ11" i="1"/>
  <c r="AQ12" i="1"/>
  <c r="AQ13" i="1"/>
  <c r="AQ14" i="1"/>
  <c r="AQ15" i="1"/>
  <c r="AQ16" i="1"/>
  <c r="AQ17" i="1"/>
  <c r="AQ18" i="1"/>
  <c r="AQ19" i="1"/>
  <c r="AQ20" i="1"/>
  <c r="AQ21" i="1"/>
  <c r="AQ22" i="1"/>
  <c r="AQ23" i="1"/>
  <c r="AQ24" i="1"/>
  <c r="AQ25" i="1"/>
  <c r="AQ26" i="1"/>
  <c r="AQ27" i="1"/>
  <c r="AQ28" i="1"/>
  <c r="AQ29" i="1"/>
  <c r="AQ30" i="1"/>
  <c r="AQ31" i="1"/>
  <c r="AQ32" i="1"/>
  <c r="AQ33" i="1"/>
  <c r="AQ34" i="1"/>
  <c r="AQ35" i="1"/>
  <c r="AQ36" i="1"/>
  <c r="AQ37" i="1"/>
  <c r="AQ38" i="1"/>
  <c r="AQ39" i="1"/>
  <c r="AQ40" i="1"/>
  <c r="AQ41" i="1"/>
  <c r="AQ42" i="1"/>
  <c r="AQ43" i="1"/>
  <c r="AQ44" i="1"/>
  <c r="AQ45" i="1"/>
  <c r="AQ46" i="1"/>
  <c r="AQ47" i="1"/>
  <c r="AQ48" i="1"/>
  <c r="AQ49" i="1"/>
  <c r="AQ50" i="1"/>
  <c r="BO22" i="1"/>
  <c r="BQ22" i="1"/>
  <c r="BE51" i="1"/>
  <c r="AP51" i="1"/>
  <c r="AP2" i="1"/>
  <c r="AP3" i="1"/>
  <c r="AP4" i="1"/>
  <c r="AP5" i="1"/>
  <c r="AP6" i="1"/>
  <c r="AP7" i="1"/>
  <c r="AP8" i="1"/>
  <c r="AP9" i="1"/>
  <c r="AP10" i="1"/>
  <c r="AP11" i="1"/>
  <c r="AP12" i="1"/>
  <c r="AP13" i="1"/>
  <c r="AP14" i="1"/>
  <c r="AP15" i="1"/>
  <c r="AP16" i="1"/>
  <c r="AP17" i="1"/>
  <c r="AP18" i="1"/>
  <c r="AP19" i="1"/>
  <c r="AP20" i="1"/>
  <c r="AP21" i="1"/>
  <c r="AP22" i="1"/>
  <c r="AP23" i="1"/>
  <c r="AP24" i="1"/>
  <c r="AP25" i="1"/>
  <c r="AP26" i="1"/>
  <c r="AP27" i="1"/>
  <c r="AP28" i="1"/>
  <c r="AP29" i="1"/>
  <c r="AP30" i="1"/>
  <c r="AP31" i="1"/>
  <c r="AP32" i="1"/>
  <c r="AP33" i="1"/>
  <c r="AP34" i="1"/>
  <c r="AP35" i="1"/>
  <c r="AP36" i="1"/>
  <c r="AP37" i="1"/>
  <c r="AP38" i="1"/>
  <c r="AP39" i="1"/>
  <c r="AP40" i="1"/>
  <c r="AP41" i="1"/>
  <c r="AP42" i="1"/>
  <c r="AP43" i="1"/>
  <c r="AP44" i="1"/>
  <c r="AP45" i="1"/>
  <c r="AP46" i="1"/>
  <c r="AP47" i="1"/>
  <c r="AP48" i="1"/>
  <c r="AP49" i="1"/>
  <c r="AP50" i="1"/>
  <c r="BO18" i="1"/>
  <c r="BQ18" i="1"/>
  <c r="BD51" i="1"/>
  <c r="AO51" i="1"/>
  <c r="AO2" i="1"/>
  <c r="AO3" i="1"/>
  <c r="AO4" i="1"/>
  <c r="AO5" i="1"/>
  <c r="AO6" i="1"/>
  <c r="AO7" i="1"/>
  <c r="AO8" i="1"/>
  <c r="AO9" i="1"/>
  <c r="AO10" i="1"/>
  <c r="AO11" i="1"/>
  <c r="AO12" i="1"/>
  <c r="AO13" i="1"/>
  <c r="AO14" i="1"/>
  <c r="AO15" i="1"/>
  <c r="AO16" i="1"/>
  <c r="AO17" i="1"/>
  <c r="AO18" i="1"/>
  <c r="AO19" i="1"/>
  <c r="AO20" i="1"/>
  <c r="AO21" i="1"/>
  <c r="AO22" i="1"/>
  <c r="AO23" i="1"/>
  <c r="AO24" i="1"/>
  <c r="AO25" i="1"/>
  <c r="AO26" i="1"/>
  <c r="AO27" i="1"/>
  <c r="AO28" i="1"/>
  <c r="AO29" i="1"/>
  <c r="AO30" i="1"/>
  <c r="AO31" i="1"/>
  <c r="AO32" i="1"/>
  <c r="AO33" i="1"/>
  <c r="AO34" i="1"/>
  <c r="AO35" i="1"/>
  <c r="AO36" i="1"/>
  <c r="AO37" i="1"/>
  <c r="AO38" i="1"/>
  <c r="AO39" i="1"/>
  <c r="AO40" i="1"/>
  <c r="AO41" i="1"/>
  <c r="AO42" i="1"/>
  <c r="AO43" i="1"/>
  <c r="AO44" i="1"/>
  <c r="AO45" i="1"/>
  <c r="AO46" i="1"/>
  <c r="AO47" i="1"/>
  <c r="AO48" i="1"/>
  <c r="AO49" i="1"/>
  <c r="AO50" i="1"/>
  <c r="BO17" i="1"/>
  <c r="BQ17" i="1"/>
  <c r="BC51" i="1"/>
  <c r="AN51" i="1"/>
  <c r="AN2" i="1"/>
  <c r="AN3" i="1"/>
  <c r="AN4" i="1"/>
  <c r="AN5" i="1"/>
  <c r="AN6" i="1"/>
  <c r="AN7" i="1"/>
  <c r="AN8" i="1"/>
  <c r="AN9" i="1"/>
  <c r="AN10" i="1"/>
  <c r="AN11" i="1"/>
  <c r="AN12" i="1"/>
  <c r="AN13" i="1"/>
  <c r="AN14" i="1"/>
  <c r="AN15" i="1"/>
  <c r="AN16" i="1"/>
  <c r="AN17" i="1"/>
  <c r="AN18" i="1"/>
  <c r="AN19" i="1"/>
  <c r="AN20" i="1"/>
  <c r="AN21" i="1"/>
  <c r="AN22" i="1"/>
  <c r="AN23" i="1"/>
  <c r="AN24" i="1"/>
  <c r="AN25" i="1"/>
  <c r="AN26" i="1"/>
  <c r="AN27" i="1"/>
  <c r="AN28" i="1"/>
  <c r="AN29" i="1"/>
  <c r="AN30" i="1"/>
  <c r="AN31" i="1"/>
  <c r="AN32" i="1"/>
  <c r="AN33" i="1"/>
  <c r="AN34" i="1"/>
  <c r="AN35" i="1"/>
  <c r="AN36" i="1"/>
  <c r="AN37" i="1"/>
  <c r="AN38" i="1"/>
  <c r="AN39" i="1"/>
  <c r="AN40" i="1"/>
  <c r="AN41" i="1"/>
  <c r="AN42" i="1"/>
  <c r="AN43" i="1"/>
  <c r="AN44" i="1"/>
  <c r="AN45" i="1"/>
  <c r="AN46" i="1"/>
  <c r="AN47" i="1"/>
  <c r="AN48" i="1"/>
  <c r="AN49" i="1"/>
  <c r="AN50" i="1"/>
  <c r="BO16" i="1"/>
  <c r="BQ16" i="1"/>
  <c r="BB51" i="1"/>
  <c r="AM51" i="1"/>
  <c r="AM2" i="1"/>
  <c r="AM3" i="1"/>
  <c r="AM4" i="1"/>
  <c r="AM5" i="1"/>
  <c r="AM6" i="1"/>
  <c r="AM7" i="1"/>
  <c r="AM8" i="1"/>
  <c r="AM9" i="1"/>
  <c r="AM10" i="1"/>
  <c r="AM11" i="1"/>
  <c r="AM12" i="1"/>
  <c r="AM13" i="1"/>
  <c r="AM14" i="1"/>
  <c r="AM15" i="1"/>
  <c r="AM16" i="1"/>
  <c r="AM17" i="1"/>
  <c r="AM18" i="1"/>
  <c r="AM19" i="1"/>
  <c r="AM20" i="1"/>
  <c r="AM21" i="1"/>
  <c r="AM22" i="1"/>
  <c r="AM23" i="1"/>
  <c r="AM24" i="1"/>
  <c r="AM25" i="1"/>
  <c r="AM26" i="1"/>
  <c r="AM27" i="1"/>
  <c r="AM28" i="1"/>
  <c r="AM29" i="1"/>
  <c r="AM30" i="1"/>
  <c r="AM31" i="1"/>
  <c r="AM32" i="1"/>
  <c r="AM33" i="1"/>
  <c r="AM34" i="1"/>
  <c r="AM35" i="1"/>
  <c r="AM36" i="1"/>
  <c r="AM37" i="1"/>
  <c r="AM38" i="1"/>
  <c r="AM39" i="1"/>
  <c r="AM40" i="1"/>
  <c r="AM41" i="1"/>
  <c r="AM42" i="1"/>
  <c r="AM43" i="1"/>
  <c r="AM44" i="1"/>
  <c r="AM45" i="1"/>
  <c r="AM46" i="1"/>
  <c r="AM47" i="1"/>
  <c r="AM48" i="1"/>
  <c r="AM49" i="1"/>
  <c r="AM50" i="1"/>
  <c r="BO15" i="1"/>
  <c r="BQ15" i="1"/>
  <c r="BA51" i="1"/>
  <c r="AL51" i="1"/>
  <c r="AL2" i="1"/>
  <c r="AL3" i="1"/>
  <c r="AL4" i="1"/>
  <c r="AL5" i="1"/>
  <c r="AL6" i="1"/>
  <c r="AL7" i="1"/>
  <c r="AL8" i="1"/>
  <c r="AL9" i="1"/>
  <c r="AL10" i="1"/>
  <c r="AL11" i="1"/>
  <c r="AL12" i="1"/>
  <c r="AL13" i="1"/>
  <c r="AL14" i="1"/>
  <c r="AL15" i="1"/>
  <c r="AL16" i="1"/>
  <c r="AL17" i="1"/>
  <c r="AL18" i="1"/>
  <c r="AL19" i="1"/>
  <c r="AL20" i="1"/>
  <c r="AL21" i="1"/>
  <c r="AL22" i="1"/>
  <c r="AL23" i="1"/>
  <c r="AL24" i="1"/>
  <c r="AL25" i="1"/>
  <c r="AL26" i="1"/>
  <c r="AL27" i="1"/>
  <c r="AL28" i="1"/>
  <c r="AL29" i="1"/>
  <c r="AL30" i="1"/>
  <c r="AL31" i="1"/>
  <c r="AL32" i="1"/>
  <c r="AL33" i="1"/>
  <c r="AL34" i="1"/>
  <c r="AL35" i="1"/>
  <c r="AL36" i="1"/>
  <c r="AL37" i="1"/>
  <c r="AL38" i="1"/>
  <c r="AL39" i="1"/>
  <c r="AL40" i="1"/>
  <c r="AL41" i="1"/>
  <c r="AL42" i="1"/>
  <c r="AL43" i="1"/>
  <c r="AL44" i="1"/>
  <c r="AL45" i="1"/>
  <c r="AL46" i="1"/>
  <c r="AL47" i="1"/>
  <c r="AL48" i="1"/>
  <c r="AL49" i="1"/>
  <c r="AL50" i="1"/>
  <c r="BO14" i="1"/>
  <c r="BQ14" i="1"/>
  <c r="AZ51" i="1"/>
  <c r="BO8" i="1"/>
  <c r="BQ8" i="1"/>
  <c r="AY51" i="1"/>
  <c r="BO7" i="1"/>
  <c r="BQ7" i="1"/>
  <c r="AX51" i="1"/>
  <c r="BO6" i="1"/>
  <c r="BQ6" i="1"/>
  <c r="AW51" i="1"/>
  <c r="BO5" i="1"/>
  <c r="BQ5" i="1"/>
  <c r="AV51" i="1"/>
  <c r="BO4" i="1"/>
  <c r="BQ4" i="1"/>
  <c r="AU51" i="1"/>
  <c r="AT51" i="1"/>
  <c r="BL50" i="1"/>
  <c r="BK50" i="1"/>
  <c r="BJ50" i="1"/>
  <c r="BI50" i="1"/>
  <c r="BH50" i="1"/>
  <c r="BG50" i="1"/>
  <c r="BF50" i="1"/>
  <c r="BE50" i="1"/>
  <c r="BD50" i="1"/>
  <c r="BC50" i="1"/>
  <c r="BB50" i="1"/>
  <c r="BA50" i="1"/>
  <c r="AZ50" i="1"/>
  <c r="AY50" i="1"/>
  <c r="AX50" i="1"/>
  <c r="AW50" i="1"/>
  <c r="AV50" i="1"/>
  <c r="AU50" i="1"/>
  <c r="AT50" i="1"/>
  <c r="BL49" i="1"/>
  <c r="BK49" i="1"/>
  <c r="BJ49" i="1"/>
  <c r="BI49" i="1"/>
  <c r="BH49" i="1"/>
  <c r="BG49" i="1"/>
  <c r="BF49" i="1"/>
  <c r="BE49" i="1"/>
  <c r="BD49" i="1"/>
  <c r="BC49" i="1"/>
  <c r="BB49" i="1"/>
  <c r="BA49" i="1"/>
  <c r="AZ49" i="1"/>
  <c r="AY49" i="1"/>
  <c r="AX49" i="1"/>
  <c r="AW49" i="1"/>
  <c r="AV49" i="1"/>
  <c r="AU49" i="1"/>
  <c r="AT49" i="1"/>
  <c r="BL48" i="1"/>
  <c r="BK48" i="1"/>
  <c r="BJ48" i="1"/>
  <c r="BI48" i="1"/>
  <c r="BH48" i="1"/>
  <c r="BG48" i="1"/>
  <c r="BF48" i="1"/>
  <c r="BE48" i="1"/>
  <c r="BD48" i="1"/>
  <c r="BC48" i="1"/>
  <c r="BB48" i="1"/>
  <c r="BA48" i="1"/>
  <c r="AZ48" i="1"/>
  <c r="AY48" i="1"/>
  <c r="AX48" i="1"/>
  <c r="AW48" i="1"/>
  <c r="AV48" i="1"/>
  <c r="AU48" i="1"/>
  <c r="AT48" i="1"/>
  <c r="BL47" i="1"/>
  <c r="BK47" i="1"/>
  <c r="BJ47" i="1"/>
  <c r="BI47" i="1"/>
  <c r="BH47" i="1"/>
  <c r="BG47" i="1"/>
  <c r="BF47" i="1"/>
  <c r="BE47" i="1"/>
  <c r="BD47" i="1"/>
  <c r="BC47" i="1"/>
  <c r="BB47" i="1"/>
  <c r="BA47" i="1"/>
  <c r="AZ47" i="1"/>
  <c r="AY47" i="1"/>
  <c r="AX47" i="1"/>
  <c r="AW47" i="1"/>
  <c r="AV47" i="1"/>
  <c r="AU47" i="1"/>
  <c r="AT47" i="1"/>
  <c r="BL46" i="1"/>
  <c r="BK46" i="1"/>
  <c r="BJ46" i="1"/>
  <c r="BI46" i="1"/>
  <c r="BH46" i="1"/>
  <c r="BG46" i="1"/>
  <c r="BF46" i="1"/>
  <c r="BE46" i="1"/>
  <c r="BD46" i="1"/>
  <c r="BC46" i="1"/>
  <c r="BB46" i="1"/>
  <c r="BA46" i="1"/>
  <c r="AZ46" i="1"/>
  <c r="AY46" i="1"/>
  <c r="AX46" i="1"/>
  <c r="AW46" i="1"/>
  <c r="AV46" i="1"/>
  <c r="AU46" i="1"/>
  <c r="AT46" i="1"/>
  <c r="BL45" i="1"/>
  <c r="BK45" i="1"/>
  <c r="BJ45" i="1"/>
  <c r="BI45" i="1"/>
  <c r="BH45" i="1"/>
  <c r="BG45" i="1"/>
  <c r="BF45" i="1"/>
  <c r="BE45" i="1"/>
  <c r="BD45" i="1"/>
  <c r="BC45" i="1"/>
  <c r="BB45" i="1"/>
  <c r="BA45" i="1"/>
  <c r="AZ45" i="1"/>
  <c r="AY45" i="1"/>
  <c r="AX45" i="1"/>
  <c r="AW45" i="1"/>
  <c r="AV45" i="1"/>
  <c r="AU45" i="1"/>
  <c r="AT45" i="1"/>
  <c r="BL44" i="1"/>
  <c r="BK44" i="1"/>
  <c r="BJ44" i="1"/>
  <c r="BI44" i="1"/>
  <c r="BH44" i="1"/>
  <c r="BG44" i="1"/>
  <c r="BF44" i="1"/>
  <c r="BE44" i="1"/>
  <c r="BD44" i="1"/>
  <c r="BC44" i="1"/>
  <c r="BB44" i="1"/>
  <c r="BA44" i="1"/>
  <c r="AZ44" i="1"/>
  <c r="AY44" i="1"/>
  <c r="AX44" i="1"/>
  <c r="AW44" i="1"/>
  <c r="AV44" i="1"/>
  <c r="AU44" i="1"/>
  <c r="AT44" i="1"/>
  <c r="BL43" i="1"/>
  <c r="BK43" i="1"/>
  <c r="BJ43" i="1"/>
  <c r="BI43" i="1"/>
  <c r="BH43" i="1"/>
  <c r="BG43" i="1"/>
  <c r="BF43" i="1"/>
  <c r="BE43" i="1"/>
  <c r="BD43" i="1"/>
  <c r="BC43" i="1"/>
  <c r="BB43" i="1"/>
  <c r="BA43" i="1"/>
  <c r="AZ43" i="1"/>
  <c r="AY43" i="1"/>
  <c r="AX43" i="1"/>
  <c r="AW43" i="1"/>
  <c r="AV43" i="1"/>
  <c r="AU43" i="1"/>
  <c r="AT43" i="1"/>
  <c r="BL42" i="1"/>
  <c r="BK42" i="1"/>
  <c r="BJ42" i="1"/>
  <c r="BI42" i="1"/>
  <c r="BH42" i="1"/>
  <c r="BG42" i="1"/>
  <c r="BF42" i="1"/>
  <c r="BE42" i="1"/>
  <c r="BD42" i="1"/>
  <c r="BC42" i="1"/>
  <c r="BB42" i="1"/>
  <c r="BA42" i="1"/>
  <c r="AZ42" i="1"/>
  <c r="AY42" i="1"/>
  <c r="AX42" i="1"/>
  <c r="AW42" i="1"/>
  <c r="AV42" i="1"/>
  <c r="AU42" i="1"/>
  <c r="AT42" i="1"/>
  <c r="BL41" i="1"/>
  <c r="BK41" i="1"/>
  <c r="BJ41" i="1"/>
  <c r="BI41" i="1"/>
  <c r="BH41" i="1"/>
  <c r="BG41" i="1"/>
  <c r="BF41" i="1"/>
  <c r="BE41" i="1"/>
  <c r="BD41" i="1"/>
  <c r="BC41" i="1"/>
  <c r="BB41" i="1"/>
  <c r="BA41" i="1"/>
  <c r="AZ41" i="1"/>
  <c r="AY41" i="1"/>
  <c r="AX41" i="1"/>
  <c r="AW41" i="1"/>
  <c r="AV41" i="1"/>
  <c r="AU41" i="1"/>
  <c r="AT41" i="1"/>
  <c r="BL40" i="1"/>
  <c r="BK40" i="1"/>
  <c r="BJ40" i="1"/>
  <c r="BI40" i="1"/>
  <c r="BH40" i="1"/>
  <c r="BG40" i="1"/>
  <c r="BF40" i="1"/>
  <c r="BE40" i="1"/>
  <c r="BD40" i="1"/>
  <c r="BC40" i="1"/>
  <c r="BB40" i="1"/>
  <c r="BA40" i="1"/>
  <c r="AZ40" i="1"/>
  <c r="AY40" i="1"/>
  <c r="AX40" i="1"/>
  <c r="AW40" i="1"/>
  <c r="AV40" i="1"/>
  <c r="AU40" i="1"/>
  <c r="AT40" i="1"/>
  <c r="BL39" i="1"/>
  <c r="BK39" i="1"/>
  <c r="BJ39" i="1"/>
  <c r="BI39" i="1"/>
  <c r="BH39" i="1"/>
  <c r="BG39" i="1"/>
  <c r="BF39" i="1"/>
  <c r="BE39" i="1"/>
  <c r="BD39" i="1"/>
  <c r="BC39" i="1"/>
  <c r="BB39" i="1"/>
  <c r="BA39" i="1"/>
  <c r="AZ39" i="1"/>
  <c r="AY39" i="1"/>
  <c r="AX39" i="1"/>
  <c r="AW39" i="1"/>
  <c r="AV39" i="1"/>
  <c r="AU39" i="1"/>
  <c r="AT39" i="1"/>
  <c r="BL38" i="1"/>
  <c r="BK38" i="1"/>
  <c r="BJ38" i="1"/>
  <c r="BI38" i="1"/>
  <c r="BH38" i="1"/>
  <c r="BG38" i="1"/>
  <c r="BF38" i="1"/>
  <c r="BE38" i="1"/>
  <c r="BD38" i="1"/>
  <c r="BC38" i="1"/>
  <c r="BB38" i="1"/>
  <c r="BA38" i="1"/>
  <c r="AZ38" i="1"/>
  <c r="AY38" i="1"/>
  <c r="AX38" i="1"/>
  <c r="AW38" i="1"/>
  <c r="AV38" i="1"/>
  <c r="AU38" i="1"/>
  <c r="AT38" i="1"/>
  <c r="BL37" i="1"/>
  <c r="BK37" i="1"/>
  <c r="BJ37" i="1"/>
  <c r="BI37" i="1"/>
  <c r="BH37" i="1"/>
  <c r="BG37" i="1"/>
  <c r="BF37" i="1"/>
  <c r="BE37" i="1"/>
  <c r="BD37" i="1"/>
  <c r="BC37" i="1"/>
  <c r="BB37" i="1"/>
  <c r="BA37" i="1"/>
  <c r="AZ37" i="1"/>
  <c r="AY37" i="1"/>
  <c r="AX37" i="1"/>
  <c r="AW37" i="1"/>
  <c r="AV37" i="1"/>
  <c r="AU37" i="1"/>
  <c r="AT37" i="1"/>
  <c r="BL36" i="1"/>
  <c r="BK36" i="1"/>
  <c r="BJ36" i="1"/>
  <c r="BI36" i="1"/>
  <c r="BH36" i="1"/>
  <c r="BG36" i="1"/>
  <c r="BF36" i="1"/>
  <c r="BE36" i="1"/>
  <c r="BD36" i="1"/>
  <c r="BC36" i="1"/>
  <c r="BB36" i="1"/>
  <c r="BA36" i="1"/>
  <c r="AZ36" i="1"/>
  <c r="AY36" i="1"/>
  <c r="AX36" i="1"/>
  <c r="AW36" i="1"/>
  <c r="AV36" i="1"/>
  <c r="AU36" i="1"/>
  <c r="AT36" i="1"/>
  <c r="BL35" i="1"/>
  <c r="BK35" i="1"/>
  <c r="BJ35" i="1"/>
  <c r="BI35" i="1"/>
  <c r="BH35" i="1"/>
  <c r="BG35" i="1"/>
  <c r="BF35" i="1"/>
  <c r="BE35" i="1"/>
  <c r="BD35" i="1"/>
  <c r="BC35" i="1"/>
  <c r="BB35" i="1"/>
  <c r="BA35" i="1"/>
  <c r="AZ35" i="1"/>
  <c r="AY35" i="1"/>
  <c r="AX35" i="1"/>
  <c r="AW35" i="1"/>
  <c r="AV35" i="1"/>
  <c r="AU35" i="1"/>
  <c r="AT35" i="1"/>
  <c r="BL34" i="1"/>
  <c r="BK34" i="1"/>
  <c r="BJ34" i="1"/>
  <c r="BI34" i="1"/>
  <c r="BH34" i="1"/>
  <c r="BG34" i="1"/>
  <c r="BF34" i="1"/>
  <c r="BE34" i="1"/>
  <c r="BD34" i="1"/>
  <c r="BC34" i="1"/>
  <c r="BB34" i="1"/>
  <c r="BA34" i="1"/>
  <c r="AZ34" i="1"/>
  <c r="AY34" i="1"/>
  <c r="AX34" i="1"/>
  <c r="AW34" i="1"/>
  <c r="AV34" i="1"/>
  <c r="AU34" i="1"/>
  <c r="AT34" i="1"/>
  <c r="BL33" i="1"/>
  <c r="BK33" i="1"/>
  <c r="BJ33" i="1"/>
  <c r="BI33" i="1"/>
  <c r="BH33" i="1"/>
  <c r="BG33" i="1"/>
  <c r="BF33" i="1"/>
  <c r="BE33" i="1"/>
  <c r="BD33" i="1"/>
  <c r="BC33" i="1"/>
  <c r="BB33" i="1"/>
  <c r="BA33" i="1"/>
  <c r="AZ33" i="1"/>
  <c r="AY33" i="1"/>
  <c r="AX33" i="1"/>
  <c r="AW33" i="1"/>
  <c r="AV33" i="1"/>
  <c r="AU33" i="1"/>
  <c r="AT33" i="1"/>
  <c r="BL32" i="1"/>
  <c r="BK32" i="1"/>
  <c r="BJ32" i="1"/>
  <c r="BI32" i="1"/>
  <c r="BH32" i="1"/>
  <c r="BG32" i="1"/>
  <c r="BF32" i="1"/>
  <c r="BE32" i="1"/>
  <c r="BD32" i="1"/>
  <c r="BC32" i="1"/>
  <c r="BB32" i="1"/>
  <c r="BA32" i="1"/>
  <c r="AZ32" i="1"/>
  <c r="AY32" i="1"/>
  <c r="AX32" i="1"/>
  <c r="AW32" i="1"/>
  <c r="AV32" i="1"/>
  <c r="AU32" i="1"/>
  <c r="AT32" i="1"/>
  <c r="M32" i="1"/>
  <c r="K32" i="1"/>
  <c r="BL31" i="1"/>
  <c r="BK31" i="1"/>
  <c r="BJ31" i="1"/>
  <c r="BI31" i="1"/>
  <c r="BH31" i="1"/>
  <c r="BG31" i="1"/>
  <c r="BF31" i="1"/>
  <c r="BE31" i="1"/>
  <c r="BD31" i="1"/>
  <c r="BC31" i="1"/>
  <c r="BB31" i="1"/>
  <c r="BA31" i="1"/>
  <c r="AZ31" i="1"/>
  <c r="AY31" i="1"/>
  <c r="AX31" i="1"/>
  <c r="AW31" i="1"/>
  <c r="AV31" i="1"/>
  <c r="AU31" i="1"/>
  <c r="AT31" i="1"/>
  <c r="BL30" i="1"/>
  <c r="BK30" i="1"/>
  <c r="BJ30" i="1"/>
  <c r="BI30" i="1"/>
  <c r="BH30" i="1"/>
  <c r="BG30" i="1"/>
  <c r="BF30" i="1"/>
  <c r="BE30" i="1"/>
  <c r="BD30" i="1"/>
  <c r="BC30" i="1"/>
  <c r="BB30" i="1"/>
  <c r="BA30" i="1"/>
  <c r="AZ30" i="1"/>
  <c r="AY30" i="1"/>
  <c r="AX30" i="1"/>
  <c r="AW30" i="1"/>
  <c r="AV30" i="1"/>
  <c r="AU30" i="1"/>
  <c r="AT30" i="1"/>
  <c r="BL29" i="1"/>
  <c r="BK29" i="1"/>
  <c r="BJ29" i="1"/>
  <c r="BI29" i="1"/>
  <c r="BH29" i="1"/>
  <c r="BG29" i="1"/>
  <c r="BF29" i="1"/>
  <c r="BE29" i="1"/>
  <c r="BD29" i="1"/>
  <c r="BC29" i="1"/>
  <c r="BB29" i="1"/>
  <c r="BA29" i="1"/>
  <c r="AZ29" i="1"/>
  <c r="AY29" i="1"/>
  <c r="AX29" i="1"/>
  <c r="AW29" i="1"/>
  <c r="AV29" i="1"/>
  <c r="AU29" i="1"/>
  <c r="AT29" i="1"/>
  <c r="BL28" i="1"/>
  <c r="BK28" i="1"/>
  <c r="BJ28" i="1"/>
  <c r="BI28" i="1"/>
  <c r="BH28" i="1"/>
  <c r="AS28" i="1"/>
  <c r="BG28" i="1"/>
  <c r="BF28" i="1"/>
  <c r="BE28" i="1"/>
  <c r="BD28" i="1"/>
  <c r="BC28" i="1"/>
  <c r="BB28" i="1"/>
  <c r="BA28" i="1"/>
  <c r="AZ28" i="1"/>
  <c r="AY28" i="1"/>
  <c r="AX28" i="1"/>
  <c r="AW28" i="1"/>
  <c r="AV28" i="1"/>
  <c r="AU28" i="1"/>
  <c r="AT28" i="1"/>
  <c r="BL27" i="1"/>
  <c r="BK27" i="1"/>
  <c r="BJ27" i="1"/>
  <c r="BI27" i="1"/>
  <c r="BH27" i="1"/>
  <c r="BG27" i="1"/>
  <c r="BF27" i="1"/>
  <c r="BE27" i="1"/>
  <c r="BD27" i="1"/>
  <c r="BC27" i="1"/>
  <c r="BB27" i="1"/>
  <c r="BA27" i="1"/>
  <c r="AZ27" i="1"/>
  <c r="AY27" i="1"/>
  <c r="AX27" i="1"/>
  <c r="AW27" i="1"/>
  <c r="AV27" i="1"/>
  <c r="AU27" i="1"/>
  <c r="AT27" i="1"/>
  <c r="BL26" i="1"/>
  <c r="BK26" i="1"/>
  <c r="BJ26" i="1"/>
  <c r="BI26" i="1"/>
  <c r="BH26" i="1"/>
  <c r="BG26" i="1"/>
  <c r="BF26" i="1"/>
  <c r="BE26" i="1"/>
  <c r="BD26" i="1"/>
  <c r="BC26" i="1"/>
  <c r="BB26" i="1"/>
  <c r="BA26" i="1"/>
  <c r="AZ26" i="1"/>
  <c r="AY26" i="1"/>
  <c r="AX26" i="1"/>
  <c r="AW26" i="1"/>
  <c r="AV26" i="1"/>
  <c r="AU26" i="1"/>
  <c r="AT26" i="1"/>
  <c r="BL25" i="1"/>
  <c r="BK25" i="1"/>
  <c r="BJ25" i="1"/>
  <c r="BI25" i="1"/>
  <c r="BH25" i="1"/>
  <c r="BG25" i="1"/>
  <c r="BF25" i="1"/>
  <c r="BE25" i="1"/>
  <c r="BD25" i="1"/>
  <c r="BC25" i="1"/>
  <c r="BB25" i="1"/>
  <c r="BA25" i="1"/>
  <c r="AZ25" i="1"/>
  <c r="AY25" i="1"/>
  <c r="AX25" i="1"/>
  <c r="AW25" i="1"/>
  <c r="AV25" i="1"/>
  <c r="AU25" i="1"/>
  <c r="AT25" i="1"/>
  <c r="BS24" i="1"/>
  <c r="BR24" i="1"/>
  <c r="BP24" i="1"/>
  <c r="BL24" i="1"/>
  <c r="BK24" i="1"/>
  <c r="BJ24" i="1"/>
  <c r="BI24" i="1"/>
  <c r="BH24" i="1"/>
  <c r="BG24" i="1"/>
  <c r="BF24" i="1"/>
  <c r="BE24" i="1"/>
  <c r="BD24" i="1"/>
  <c r="BC24" i="1"/>
  <c r="BB24" i="1"/>
  <c r="BA24" i="1"/>
  <c r="AZ24" i="1"/>
  <c r="AY24" i="1"/>
  <c r="AX24" i="1"/>
  <c r="AW24" i="1"/>
  <c r="AV24" i="1"/>
  <c r="AU24" i="1"/>
  <c r="AT24" i="1"/>
  <c r="BS23" i="1"/>
  <c r="BR23" i="1"/>
  <c r="BP23" i="1"/>
  <c r="BL23" i="1"/>
  <c r="BK23" i="1"/>
  <c r="BJ23" i="1"/>
  <c r="BI23" i="1"/>
  <c r="BH23" i="1"/>
  <c r="BG23" i="1"/>
  <c r="BF23" i="1"/>
  <c r="BE23" i="1"/>
  <c r="BD23" i="1"/>
  <c r="BC23" i="1"/>
  <c r="BB23" i="1"/>
  <c r="BA23" i="1"/>
  <c r="AZ23" i="1"/>
  <c r="AY23" i="1"/>
  <c r="AX23" i="1"/>
  <c r="AW23" i="1"/>
  <c r="AV23" i="1"/>
  <c r="AU23" i="1"/>
  <c r="AT23" i="1"/>
  <c r="BS22" i="1"/>
  <c r="BR22" i="1"/>
  <c r="BP22" i="1"/>
  <c r="BL22" i="1"/>
  <c r="BK22" i="1"/>
  <c r="BJ22" i="1"/>
  <c r="BI22" i="1"/>
  <c r="BH22" i="1"/>
  <c r="BG22" i="1"/>
  <c r="BF22" i="1"/>
  <c r="BE22" i="1"/>
  <c r="BD22" i="1"/>
  <c r="BC22" i="1"/>
  <c r="BB22" i="1"/>
  <c r="BA22" i="1"/>
  <c r="AZ22" i="1"/>
  <c r="AY22" i="1"/>
  <c r="AX22" i="1"/>
  <c r="AW22" i="1"/>
  <c r="AV22" i="1"/>
  <c r="AU22" i="1"/>
  <c r="AT22" i="1"/>
  <c r="BS21" i="1"/>
  <c r="BR21" i="1"/>
  <c r="BQ21" i="1"/>
  <c r="BP21" i="1"/>
  <c r="BO21" i="1"/>
  <c r="BL21" i="1"/>
  <c r="BK21" i="1"/>
  <c r="BJ21" i="1"/>
  <c r="BI21" i="1"/>
  <c r="BH21" i="1"/>
  <c r="BG21" i="1"/>
  <c r="BF21" i="1"/>
  <c r="BE21" i="1"/>
  <c r="BD21" i="1"/>
  <c r="BC21" i="1"/>
  <c r="BB21" i="1"/>
  <c r="BA21" i="1"/>
  <c r="AZ21" i="1"/>
  <c r="AY21" i="1"/>
  <c r="AX21" i="1"/>
  <c r="AW21" i="1"/>
  <c r="AV21" i="1"/>
  <c r="AU21" i="1"/>
  <c r="AT21" i="1"/>
  <c r="BS20" i="1"/>
  <c r="BR20" i="1"/>
  <c r="BQ20" i="1"/>
  <c r="BP20" i="1"/>
  <c r="BO20" i="1"/>
  <c r="BL20" i="1"/>
  <c r="BK20" i="1"/>
  <c r="BJ20" i="1"/>
  <c r="BI20" i="1"/>
  <c r="BH20" i="1"/>
  <c r="BG20" i="1"/>
  <c r="BF20" i="1"/>
  <c r="BE20" i="1"/>
  <c r="BD20" i="1"/>
  <c r="BC20" i="1"/>
  <c r="BB20" i="1"/>
  <c r="BA20" i="1"/>
  <c r="AZ20" i="1"/>
  <c r="AY20" i="1"/>
  <c r="AX20" i="1"/>
  <c r="AW20" i="1"/>
  <c r="AV20" i="1"/>
  <c r="AU20" i="1"/>
  <c r="AT20" i="1"/>
  <c r="BS19" i="1"/>
  <c r="BR19" i="1"/>
  <c r="BQ19" i="1"/>
  <c r="BP19" i="1"/>
  <c r="BO19" i="1"/>
  <c r="BL19" i="1"/>
  <c r="BK19" i="1"/>
  <c r="BJ19" i="1"/>
  <c r="BI19" i="1"/>
  <c r="BH19" i="1"/>
  <c r="BG19" i="1"/>
  <c r="BF19" i="1"/>
  <c r="BE19" i="1"/>
  <c r="BD19" i="1"/>
  <c r="BC19" i="1"/>
  <c r="BB19" i="1"/>
  <c r="BA19" i="1"/>
  <c r="AZ19" i="1"/>
  <c r="AY19" i="1"/>
  <c r="AX19" i="1"/>
  <c r="AW19" i="1"/>
  <c r="AV19" i="1"/>
  <c r="AU19" i="1"/>
  <c r="AT19" i="1"/>
  <c r="BS18" i="1"/>
  <c r="BR18" i="1"/>
  <c r="BP18" i="1"/>
  <c r="BN18" i="1"/>
  <c r="BL18" i="1"/>
  <c r="BK18" i="1"/>
  <c r="BJ18" i="1"/>
  <c r="BI18" i="1"/>
  <c r="BH18" i="1"/>
  <c r="BG18" i="1"/>
  <c r="BF18" i="1"/>
  <c r="BE18" i="1"/>
  <c r="BD18" i="1"/>
  <c r="BC18" i="1"/>
  <c r="BB18" i="1"/>
  <c r="BA18" i="1"/>
  <c r="AZ18" i="1"/>
  <c r="AY18" i="1"/>
  <c r="AX18" i="1"/>
  <c r="AW18" i="1"/>
  <c r="AV18" i="1"/>
  <c r="AU18" i="1"/>
  <c r="AT18" i="1"/>
  <c r="BS17" i="1"/>
  <c r="BR17" i="1"/>
  <c r="BP17" i="1"/>
  <c r="BN17" i="1"/>
  <c r="BL17" i="1"/>
  <c r="BK17" i="1"/>
  <c r="BJ17" i="1"/>
  <c r="BI17" i="1"/>
  <c r="BH17" i="1"/>
  <c r="BG17" i="1"/>
  <c r="BF17" i="1"/>
  <c r="BE17" i="1"/>
  <c r="BD17" i="1"/>
  <c r="BC17" i="1"/>
  <c r="BB17" i="1"/>
  <c r="BA17" i="1"/>
  <c r="AZ17" i="1"/>
  <c r="AY17" i="1"/>
  <c r="AX17" i="1"/>
  <c r="AW17" i="1"/>
  <c r="AV17" i="1"/>
  <c r="AU17" i="1"/>
  <c r="AT17" i="1"/>
  <c r="BS16" i="1"/>
  <c r="BR16" i="1"/>
  <c r="BP16" i="1"/>
  <c r="BN16" i="1"/>
  <c r="BL16" i="1"/>
  <c r="BK16" i="1"/>
  <c r="BJ16" i="1"/>
  <c r="BI16" i="1"/>
  <c r="BH16" i="1"/>
  <c r="BG16" i="1"/>
  <c r="BF16" i="1"/>
  <c r="BE16" i="1"/>
  <c r="BD16" i="1"/>
  <c r="BC16" i="1"/>
  <c r="BB16" i="1"/>
  <c r="BA16" i="1"/>
  <c r="AZ16" i="1"/>
  <c r="AY16" i="1"/>
  <c r="AX16" i="1"/>
  <c r="AW16" i="1"/>
  <c r="AV16" i="1"/>
  <c r="AU16" i="1"/>
  <c r="AT16" i="1"/>
  <c r="BS15" i="1"/>
  <c r="BR15" i="1"/>
  <c r="BP15" i="1"/>
  <c r="BN15" i="1"/>
  <c r="BL15" i="1"/>
  <c r="BK15" i="1"/>
  <c r="BJ15" i="1"/>
  <c r="BI15" i="1"/>
  <c r="BH15" i="1"/>
  <c r="BG15" i="1"/>
  <c r="BF15" i="1"/>
  <c r="BE15" i="1"/>
  <c r="BD15" i="1"/>
  <c r="BC15" i="1"/>
  <c r="BB15" i="1"/>
  <c r="BA15" i="1"/>
  <c r="AZ15" i="1"/>
  <c r="AY15" i="1"/>
  <c r="AX15" i="1"/>
  <c r="AW15" i="1"/>
  <c r="AV15" i="1"/>
  <c r="AU15" i="1"/>
  <c r="AT15" i="1"/>
  <c r="BS14" i="1"/>
  <c r="BR14" i="1"/>
  <c r="BP14" i="1"/>
  <c r="BN14" i="1"/>
  <c r="BL14" i="1"/>
  <c r="BK14" i="1"/>
  <c r="BJ14" i="1"/>
  <c r="BI14" i="1"/>
  <c r="BH14" i="1"/>
  <c r="BG14" i="1"/>
  <c r="BF14" i="1"/>
  <c r="BE14" i="1"/>
  <c r="BD14" i="1"/>
  <c r="BC14" i="1"/>
  <c r="BB14" i="1"/>
  <c r="BA14" i="1"/>
  <c r="AZ14" i="1"/>
  <c r="AY14" i="1"/>
  <c r="AX14" i="1"/>
  <c r="AW14" i="1"/>
  <c r="AV14" i="1"/>
  <c r="AU14" i="1"/>
  <c r="AT14" i="1"/>
  <c r="BS13" i="1"/>
  <c r="BR13" i="1"/>
  <c r="BP13" i="1"/>
  <c r="BN13" i="1"/>
  <c r="BL13" i="1"/>
  <c r="BK13" i="1"/>
  <c r="BJ13" i="1"/>
  <c r="BI13" i="1"/>
  <c r="BH13" i="1"/>
  <c r="BG13" i="1"/>
  <c r="BF13" i="1"/>
  <c r="BE13" i="1"/>
  <c r="BD13" i="1"/>
  <c r="BC13" i="1"/>
  <c r="BB13" i="1"/>
  <c r="BA13" i="1"/>
  <c r="AZ13" i="1"/>
  <c r="AY13" i="1"/>
  <c r="AX13" i="1"/>
  <c r="AW13" i="1"/>
  <c r="AV13" i="1"/>
  <c r="AU13" i="1"/>
  <c r="AT13" i="1"/>
  <c r="BS12" i="1"/>
  <c r="BR12" i="1"/>
  <c r="BP12" i="1"/>
  <c r="BN12" i="1"/>
  <c r="BL12" i="1"/>
  <c r="BK12" i="1"/>
  <c r="BJ12" i="1"/>
  <c r="BI12" i="1"/>
  <c r="BH12" i="1"/>
  <c r="BG12" i="1"/>
  <c r="BF12" i="1"/>
  <c r="BE12" i="1"/>
  <c r="BD12" i="1"/>
  <c r="BC12" i="1"/>
  <c r="BB12" i="1"/>
  <c r="BA12" i="1"/>
  <c r="AZ12" i="1"/>
  <c r="AY12" i="1"/>
  <c r="AX12" i="1"/>
  <c r="AW12" i="1"/>
  <c r="AV12" i="1"/>
  <c r="AU12" i="1"/>
  <c r="AT12" i="1"/>
  <c r="BS11" i="1"/>
  <c r="BR11" i="1"/>
  <c r="BP11" i="1"/>
  <c r="BN11" i="1"/>
  <c r="BL11" i="1"/>
  <c r="BK11" i="1"/>
  <c r="BJ11" i="1"/>
  <c r="BI11" i="1"/>
  <c r="BH11" i="1"/>
  <c r="BG11" i="1"/>
  <c r="BF11" i="1"/>
  <c r="BE11" i="1"/>
  <c r="BD11" i="1"/>
  <c r="BC11" i="1"/>
  <c r="BB11" i="1"/>
  <c r="BA11" i="1"/>
  <c r="AZ11" i="1"/>
  <c r="AY11" i="1"/>
  <c r="AX11" i="1"/>
  <c r="AW11" i="1"/>
  <c r="AV11" i="1"/>
  <c r="AU11" i="1"/>
  <c r="AT11" i="1"/>
  <c r="BS10" i="1"/>
  <c r="BR10" i="1"/>
  <c r="BP10" i="1"/>
  <c r="BN10" i="1"/>
  <c r="BL10" i="1"/>
  <c r="BK10" i="1"/>
  <c r="BJ10" i="1"/>
  <c r="BI10" i="1"/>
  <c r="BH10" i="1"/>
  <c r="BG10" i="1"/>
  <c r="BF10" i="1"/>
  <c r="BE10" i="1"/>
  <c r="BD10" i="1"/>
  <c r="BC10" i="1"/>
  <c r="BB10" i="1"/>
  <c r="BA10" i="1"/>
  <c r="AZ10" i="1"/>
  <c r="AY10" i="1"/>
  <c r="AX10" i="1"/>
  <c r="AW10" i="1"/>
  <c r="AV10" i="1"/>
  <c r="AU10" i="1"/>
  <c r="AT10" i="1"/>
  <c r="BS9" i="1"/>
  <c r="BR9" i="1"/>
  <c r="BP9" i="1"/>
  <c r="BN9" i="1"/>
  <c r="BL9" i="1"/>
  <c r="BK9" i="1"/>
  <c r="BJ9" i="1"/>
  <c r="BI9" i="1"/>
  <c r="BH9" i="1"/>
  <c r="BG9" i="1"/>
  <c r="BF9" i="1"/>
  <c r="BE9" i="1"/>
  <c r="BD9" i="1"/>
  <c r="BC9" i="1"/>
  <c r="BB9" i="1"/>
  <c r="BA9" i="1"/>
  <c r="AZ9" i="1"/>
  <c r="AY9" i="1"/>
  <c r="AX9" i="1"/>
  <c r="AW9" i="1"/>
  <c r="AV9" i="1"/>
  <c r="AU9" i="1"/>
  <c r="AT9" i="1"/>
  <c r="BS8" i="1"/>
  <c r="BR8" i="1"/>
  <c r="BP8" i="1"/>
  <c r="BN8" i="1"/>
  <c r="BL8" i="1"/>
  <c r="BK8" i="1"/>
  <c r="BJ8" i="1"/>
  <c r="BI8" i="1"/>
  <c r="BH8" i="1"/>
  <c r="BG8" i="1"/>
  <c r="BF8" i="1"/>
  <c r="BE8" i="1"/>
  <c r="BD8" i="1"/>
  <c r="BC8" i="1"/>
  <c r="BB8" i="1"/>
  <c r="BA8" i="1"/>
  <c r="AZ8" i="1"/>
  <c r="AY8" i="1"/>
  <c r="AX8" i="1"/>
  <c r="AW8" i="1"/>
  <c r="AV8" i="1"/>
  <c r="AU8" i="1"/>
  <c r="AT8" i="1"/>
  <c r="BS7" i="1"/>
  <c r="BR7" i="1"/>
  <c r="BP7" i="1"/>
  <c r="BN7" i="1"/>
  <c r="BL7" i="1"/>
  <c r="BK7" i="1"/>
  <c r="BJ7" i="1"/>
  <c r="BI7" i="1"/>
  <c r="BH7" i="1"/>
  <c r="BG7" i="1"/>
  <c r="BF7" i="1"/>
  <c r="BE7" i="1"/>
  <c r="BD7" i="1"/>
  <c r="BC7" i="1"/>
  <c r="BB7" i="1"/>
  <c r="BA7" i="1"/>
  <c r="AZ7" i="1"/>
  <c r="AY7" i="1"/>
  <c r="AX7" i="1"/>
  <c r="AW7" i="1"/>
  <c r="AV7" i="1"/>
  <c r="AU7" i="1"/>
  <c r="AT7" i="1"/>
  <c r="BS6" i="1"/>
  <c r="BR6" i="1"/>
  <c r="BP6" i="1"/>
  <c r="BN6" i="1"/>
  <c r="BL6" i="1"/>
  <c r="BK6" i="1"/>
  <c r="BJ6" i="1"/>
  <c r="BI6" i="1"/>
  <c r="BH6" i="1"/>
  <c r="BG6" i="1"/>
  <c r="BF6" i="1"/>
  <c r="BE6" i="1"/>
  <c r="BD6" i="1"/>
  <c r="BC6" i="1"/>
  <c r="BB6" i="1"/>
  <c r="BA6" i="1"/>
  <c r="AZ6" i="1"/>
  <c r="AY6" i="1"/>
  <c r="AX6" i="1"/>
  <c r="AW6" i="1"/>
  <c r="AV6" i="1"/>
  <c r="AU6" i="1"/>
  <c r="AT6" i="1"/>
  <c r="BS5" i="1"/>
  <c r="BR5" i="1"/>
  <c r="BP5" i="1"/>
  <c r="BN5" i="1"/>
  <c r="BL5" i="1"/>
  <c r="BK5" i="1"/>
  <c r="BJ5" i="1"/>
  <c r="BI5" i="1"/>
  <c r="BH5" i="1"/>
  <c r="BG5" i="1"/>
  <c r="BF5" i="1"/>
  <c r="BE5" i="1"/>
  <c r="BD5" i="1"/>
  <c r="BC5" i="1"/>
  <c r="BB5" i="1"/>
  <c r="BA5" i="1"/>
  <c r="AZ5" i="1"/>
  <c r="AY5" i="1"/>
  <c r="AX5" i="1"/>
  <c r="AW5" i="1"/>
  <c r="AV5" i="1"/>
  <c r="AU5" i="1"/>
  <c r="AT5" i="1"/>
  <c r="BS4" i="1"/>
  <c r="BR4" i="1"/>
  <c r="BP4" i="1"/>
  <c r="BN4" i="1"/>
  <c r="BL4" i="1"/>
  <c r="BK4" i="1"/>
  <c r="BJ4" i="1"/>
  <c r="BI4" i="1"/>
  <c r="BH4" i="1"/>
  <c r="BG4" i="1"/>
  <c r="BF4" i="1"/>
  <c r="BE4" i="1"/>
  <c r="BD4" i="1"/>
  <c r="BC4" i="1"/>
  <c r="BB4" i="1"/>
  <c r="BA4" i="1"/>
  <c r="AZ4" i="1"/>
  <c r="AY4" i="1"/>
  <c r="AX4" i="1"/>
  <c r="AW4" i="1"/>
  <c r="AV4" i="1"/>
  <c r="AU4" i="1"/>
  <c r="AT4" i="1"/>
  <c r="BS3" i="1"/>
  <c r="BR3" i="1"/>
  <c r="BP3" i="1"/>
  <c r="BN3" i="1"/>
  <c r="BL3" i="1"/>
  <c r="BK3" i="1"/>
  <c r="BJ3" i="1"/>
  <c r="BI3" i="1"/>
  <c r="BH3" i="1"/>
  <c r="BG3" i="1"/>
  <c r="BF3" i="1"/>
  <c r="BE3" i="1"/>
  <c r="BD3" i="1"/>
  <c r="BC3" i="1"/>
  <c r="BB3" i="1"/>
  <c r="BA3" i="1"/>
  <c r="AZ3" i="1"/>
  <c r="AY3" i="1"/>
  <c r="AX3" i="1"/>
  <c r="AW3" i="1"/>
  <c r="AV3" i="1"/>
  <c r="AU3" i="1"/>
  <c r="AT3" i="1"/>
  <c r="BL2" i="1"/>
  <c r="BK2" i="1"/>
  <c r="BJ2" i="1"/>
  <c r="BI2" i="1"/>
  <c r="BH2" i="1"/>
  <c r="BG2" i="1"/>
  <c r="BF2" i="1"/>
  <c r="BE2" i="1"/>
  <c r="BD2" i="1"/>
  <c r="BC2" i="1"/>
  <c r="BB2" i="1"/>
  <c r="BA2" i="1"/>
  <c r="AZ2" i="1"/>
  <c r="AY2" i="1"/>
  <c r="AX2" i="1"/>
  <c r="AW2" i="1"/>
  <c r="AV2" i="1"/>
  <c r="AU2" i="1"/>
  <c r="AT2" i="1"/>
</calcChain>
</file>

<file path=xl/comments1.xml><?xml version="1.0" encoding="utf-8"?>
<comments xmlns="http://schemas.openxmlformats.org/spreadsheetml/2006/main">
  <authors>
    <author>Eileen Norcross</author>
    <author>Olivia Gonzalez</author>
    <author>User</author>
  </authors>
  <commentList>
    <comment ref="D1" authorId="0">
      <text>
        <r>
          <rPr>
            <b/>
            <sz val="9"/>
            <color indexed="81"/>
            <rFont val="Verdana"/>
            <family val="2"/>
          </rPr>
          <t>Eileen Norcross:</t>
        </r>
        <r>
          <rPr>
            <sz val="9"/>
            <color indexed="81"/>
            <rFont val="Verdana"/>
            <family val="2"/>
          </rPr>
          <t xml:space="preserve">
Units are expressed in thousands for columns D through M, for the purpose of calculating ratios; per capita figures are expressed literally (columns, N through S, for ease of interpretation of per capita dollar amounts.</t>
        </r>
      </text>
    </comment>
    <comment ref="N1" authorId="0">
      <text>
        <r>
          <rPr>
            <b/>
            <sz val="9"/>
            <color indexed="81"/>
            <rFont val="Verdana"/>
            <family val="2"/>
          </rPr>
          <t>Eileen Norcross:</t>
        </r>
        <r>
          <rPr>
            <sz val="9"/>
            <color indexed="81"/>
            <rFont val="Verdana"/>
            <family val="2"/>
          </rPr>
          <t xml:space="preserve">
Expressed in literal units for per capita calculations</t>
        </r>
      </text>
    </comment>
    <comment ref="AT1" authorId="1">
      <text>
        <r>
          <rPr>
            <b/>
            <sz val="9"/>
            <color indexed="81"/>
            <rFont val="Tahoma"/>
            <family val="2"/>
          </rPr>
          <t>Olivia Gonzalez:</t>
        </r>
        <r>
          <rPr>
            <sz val="9"/>
            <color indexed="81"/>
            <rFont val="Tahoma"/>
            <family val="2"/>
          </rPr>
          <t xml:space="preserve">
Standardized non-inverses (up to 6)</t>
        </r>
      </text>
    </comment>
    <comment ref="AZ1" authorId="2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Standardized inverses (up to 11)</t>
        </r>
      </text>
    </comment>
    <comment ref="BH1" authorId="2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Standardized non-inverses up to 11</t>
        </r>
      </text>
    </comment>
    <comment ref="B53" authorId="2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New Jersey, New Mexico, North Dakota, Vermon &amp; Virginia are converted to thousands, from data given as is. New York is converted to thousands from data given in millions</t>
        </r>
      </text>
    </comment>
  </commentList>
</comments>
</file>

<file path=xl/sharedStrings.xml><?xml version="1.0" encoding="utf-8"?>
<sst xmlns="http://schemas.openxmlformats.org/spreadsheetml/2006/main" count="198" uniqueCount="182">
  <si>
    <t>Link to CAFR</t>
  </si>
  <si>
    <t>C_CE_I</t>
  </si>
  <si>
    <t>Total Current Assets</t>
  </si>
  <si>
    <t>Total Taxes</t>
  </si>
  <si>
    <t>UAAL pension (risk-free)</t>
  </si>
  <si>
    <t>UAAL OPEB</t>
  </si>
  <si>
    <t>Primary gov debt</t>
  </si>
  <si>
    <t>Personal income</t>
  </si>
  <si>
    <t>9.tax_income_ratio</t>
  </si>
  <si>
    <t>10.rev_income_ratio</t>
  </si>
  <si>
    <t>11.exp_income_ratio</t>
  </si>
  <si>
    <t>12. Primary debt_income ratio</t>
  </si>
  <si>
    <t>13. pension_income ratio</t>
  </si>
  <si>
    <t>14. OPEB_income ratio</t>
  </si>
  <si>
    <t>7.long_term_liab (inv)</t>
  </si>
  <si>
    <t>8.lt_percapita (inv)</t>
  </si>
  <si>
    <t>9.tax_income_ratio (inv)</t>
  </si>
  <si>
    <t>10.rev_income_ratio (inv)</t>
  </si>
  <si>
    <t>11.exp_income_ratio (inv)</t>
  </si>
  <si>
    <t>12. Primary debt_income (inv)</t>
  </si>
  <si>
    <t>13. pension_income ratio (inv)</t>
  </si>
  <si>
    <t>43. OPEB_income (inv)</t>
  </si>
  <si>
    <t>12. Primary debt_income(inv)</t>
  </si>
  <si>
    <t>13. pension_income(inv)</t>
  </si>
  <si>
    <t>14. OPEB_income (inv)</t>
  </si>
  <si>
    <t>9.tax_ratio_income</t>
  </si>
  <si>
    <t>http://comptroller.alabama.gov/pdfs/CAFR/cafr.2013.ala.pdf</t>
  </si>
  <si>
    <t>N</t>
  </si>
  <si>
    <t>Mean</t>
  </si>
  <si>
    <t>Median</t>
  </si>
  <si>
    <t>S.D.</t>
  </si>
  <si>
    <t>Max</t>
  </si>
  <si>
    <t>Min</t>
  </si>
  <si>
    <t>http://doa.alaska.gov/dof/reports/resource/fy13/2013cafr.pdf</t>
  </si>
  <si>
    <t>1. Cash Ratio</t>
  </si>
  <si>
    <t>http://www.azauditor.gov/Reports/State_Agencies/StateWideReports/Financial/CAFR/FA_6_30_13/State_Of_Arizona_June30,2013_CAFR.pdf</t>
  </si>
  <si>
    <t>2. Quick Ratio</t>
  </si>
  <si>
    <t>http://www.dfa.arkansas.gov/offices/accounting/Documents/cafr2013.pdf</t>
  </si>
  <si>
    <t>3. Current Ratio</t>
  </si>
  <si>
    <t>http://www.sco.ca.gov/Files-ARD/CAFR/cafr13web.pdf</t>
  </si>
  <si>
    <t>4. Operating Ratio</t>
  </si>
  <si>
    <t>https://www.colorado.gov/pacific/sites/default/files/CAFR13Fin.pdf</t>
  </si>
  <si>
    <t>5. Surplus (deficit) per capita</t>
  </si>
  <si>
    <t>http://www.osc.ct.gov/2013cafr/CAFR13.pdf</t>
  </si>
  <si>
    <t>6. Net asset ratio</t>
  </si>
  <si>
    <t>http://accounting.delaware.gov/2013cafr.pdf</t>
  </si>
  <si>
    <t>7. Long-term liability ratio</t>
  </si>
  <si>
    <t>http://www.myfloridacfo.com/Division/AA/Reports/2013CAFR.pdf</t>
  </si>
  <si>
    <t>8. Long-term liability per capita</t>
  </si>
  <si>
    <t>http://sao.georgia.gov/sites/sao.georgia.gov/files/related_files/site_page/2013%20CAFR%20Final.pdf</t>
  </si>
  <si>
    <t>9. Tax income ratio</t>
  </si>
  <si>
    <t>http://ags.hawaii.gov/wp-content/uploads/2012/09/soh-cafr-20130630.pdf</t>
  </si>
  <si>
    <t>10. Revenue income ratio</t>
  </si>
  <si>
    <t>http://www.sco.idaho.gov/web/DSADoc.nsf/445AA4D1B1EFDC0687257C4B006A6703/$FILE/SCO-2013_Idaho_CAFR.pdf</t>
  </si>
  <si>
    <t>Idaho</t>
  </si>
  <si>
    <t>11. Expenses income ratio</t>
  </si>
  <si>
    <t>http://www.ioc.state.il.us/index.cfm/resources/reports/cafr/fy-2013/</t>
  </si>
  <si>
    <t>Illinois</t>
  </si>
  <si>
    <t>7. Long-term liability ratio (inv)</t>
  </si>
  <si>
    <t>http://www.in.gov/auditor/files/Entire_2013_CAFR.pdf</t>
  </si>
  <si>
    <t>Indiana</t>
  </si>
  <si>
    <t>8. Long-term liability per capita (inv)</t>
  </si>
  <si>
    <t>http://das.sae.iowa.gov/financial_reports/</t>
  </si>
  <si>
    <t>Iowa</t>
  </si>
  <si>
    <t>9. Tax income ratio (inv)</t>
  </si>
  <si>
    <t>http://admin.ks.gov/docs/default-source/cfo/fiscal-year-2013---comprehensive-annual-financial-report.pdf?sfvrsn=4</t>
  </si>
  <si>
    <t>Kansas</t>
  </si>
  <si>
    <t>10. Revenue income ratio (inv)</t>
  </si>
  <si>
    <t>http://finance.ky.gov/services/statewideacct/Documents/CAFR/2013%20CAFR%20FOR%20WEB.pdf</t>
  </si>
  <si>
    <t>Kentucky</t>
  </si>
  <si>
    <t>11. Expenses income ratio (inv)</t>
  </si>
  <si>
    <t>http://www.doa.louisiana.gov/osrap/library/Publications/cafr2013.pdf</t>
  </si>
  <si>
    <t>Louisiana</t>
  </si>
  <si>
    <t>12. Debt income ratio</t>
  </si>
  <si>
    <t>http://www.maine.gov/osc/pdf/finanrept/cafr/cafr2013.pdf</t>
  </si>
  <si>
    <t>Maine</t>
  </si>
  <si>
    <t>13. Pension income ratio</t>
  </si>
  <si>
    <t>http://finances.marylandtaxes.com/static_files/revenue/cafr/cafr2013.pdf</t>
  </si>
  <si>
    <t>Maryland</t>
  </si>
  <si>
    <t>14. OPEB income ratio</t>
  </si>
  <si>
    <t>http://www.mass.gov/legis/journal/desktop/2013/cafr.pdf</t>
  </si>
  <si>
    <t>Massachusetts</t>
  </si>
  <si>
    <t>12. Debt income ratio (inv)</t>
  </si>
  <si>
    <t>http://www.michigan.gov/documents/budget/CAFR_FY_2013_444277_7.pdf</t>
  </si>
  <si>
    <t>Michigan</t>
  </si>
  <si>
    <t>13. pension income ratio (inv)</t>
  </si>
  <si>
    <t>http://www.mnpera.org/vertical/Sites/%7BCB6D4845-437C-4F52-969E-51305385F40B%7D/uploads/CAFR_2013_Final-2.pdf</t>
  </si>
  <si>
    <t>Minnesota</t>
  </si>
  <si>
    <t>14. OPEB income ratio (inv)</t>
  </si>
  <si>
    <t>http://www.dfa.state.ms.us/Offices/OFR/BFR%20Files/CAFR%20Files/2013%20CAFR.pdf</t>
  </si>
  <si>
    <t>Mississippi</t>
  </si>
  <si>
    <t>http://www.auditor.mo.gov/contact_oa_cafr.htm</t>
  </si>
  <si>
    <t>Missouri</t>
  </si>
  <si>
    <t xml:space="preserve"> </t>
  </si>
  <si>
    <t>http://accounting.mt.gov/content/cafr/FY13CAFR</t>
  </si>
  <si>
    <t>Montana</t>
  </si>
  <si>
    <t>http://das.nebraska.gov/accounting/cafr/cafr2013.pdf</t>
  </si>
  <si>
    <t>Nebraska</t>
  </si>
  <si>
    <t>n/a</t>
  </si>
  <si>
    <t>.</t>
  </si>
  <si>
    <t>http://controller.nv.gov/FinancialReports/CAFR_Download_Page.html</t>
  </si>
  <si>
    <t>Nevada</t>
  </si>
  <si>
    <t>http://www.nh.gov/treasury/Divisions/DocsForms/CAFR_09-30-2013.pdf</t>
  </si>
  <si>
    <t>New Hampshire</t>
  </si>
  <si>
    <t>http://www.nj.gov/treasury/omb/publications/13cafr/pdf/fullcafr2013.pdf</t>
  </si>
  <si>
    <t>New Jersey</t>
  </si>
  <si>
    <t>adjusted for inflation</t>
  </si>
  <si>
    <t>New Mexico</t>
  </si>
  <si>
    <t>http://www.osc.state.ny.us/finance/finreports/2013cafr.pdf</t>
  </si>
  <si>
    <t>New York</t>
  </si>
  <si>
    <t>http://www.ncosc.net/financial/13cafr/2013_Comprehensive_Annual_Financial_Report_bookmarks.pdf</t>
  </si>
  <si>
    <t>North Carolina</t>
  </si>
  <si>
    <t>http://www.nd.gov/fiscal/docs/cafr2013/2013cafr.pdf</t>
  </si>
  <si>
    <t>North Dakota</t>
  </si>
  <si>
    <t>http://obm.ohio.gov/stateaccounting/financialreporting/doc/cafr/2013/cafr_2013.pdf</t>
  </si>
  <si>
    <t>Ohio</t>
  </si>
  <si>
    <t>http://www.ok.gov/OSF/documents/cafr13.pdf</t>
  </si>
  <si>
    <t>Oklahoma</t>
  </si>
  <si>
    <t>http://sos.oregon.gov/audits/Documents/2014-04.pdf</t>
  </si>
  <si>
    <t>Oregon</t>
  </si>
  <si>
    <t>http://www.budget.state.pa.us/portal/server.pt/community/financial_reports/4574</t>
  </si>
  <si>
    <t>Pennsylvania</t>
  </si>
  <si>
    <t>http://controller.admin.ri.gov/documents/Financial%20Reports//115_Comprehensive%20Annual%20Financial%20Report_06-30-2013.pdf</t>
  </si>
  <si>
    <t>Rhode Island</t>
  </si>
  <si>
    <t>http://www.cg.sc.gov/publicationsandreports/Pages/CAFRFY20122013.aspx</t>
  </si>
  <si>
    <t>South Carolina</t>
  </si>
  <si>
    <t>http://bfm.sd.gov/cafr/SD_CAFR_2013.PDF</t>
  </si>
  <si>
    <t>South Dakota</t>
  </si>
  <si>
    <t>http://www.tn.gov/finance/act/cafr_fy2013/cafr_fy13.pdf</t>
  </si>
  <si>
    <t>Tennessee</t>
  </si>
  <si>
    <t>http://www.texastransparency.org/State_Finance/Budget_Finance/Reports/Comprehensive_Annual_Financial/13/pdf/CAFR-2013.pdf</t>
  </si>
  <si>
    <t>Texas</t>
  </si>
  <si>
    <t>http://finance.utah.gov/reporting/documents/13UTCAFR.pdf</t>
  </si>
  <si>
    <t>Utah</t>
  </si>
  <si>
    <t>http://finance.vermont.gov/sites/finance/files/pdf/cafr/2013_CAFR_Final.pdf</t>
  </si>
  <si>
    <t>Vermont</t>
  </si>
  <si>
    <t>http://www.doa.virginia.gov/Financial_Reporting/CAFR/2013/2013CAFR.pdf</t>
  </si>
  <si>
    <t>Virginia</t>
  </si>
  <si>
    <t>http://www.ofm.wa.gov/cafr/2013/CAFR13.pdf</t>
  </si>
  <si>
    <t>Washington</t>
  </si>
  <si>
    <t>http://www.wvfinance.state.wv.us/cafr13.htm</t>
  </si>
  <si>
    <t>West Virginia</t>
  </si>
  <si>
    <t>ftp://doaftp1380.wi.gov/doadocs/2013%20CAFR_Linked.pdf</t>
  </si>
  <si>
    <t>Wisconsin</t>
  </si>
  <si>
    <t>http://sao.state.wy.us/cafr/cafr_report.htm</t>
  </si>
  <si>
    <t>Wyoming</t>
  </si>
  <si>
    <t>Comment</t>
  </si>
  <si>
    <t>State</t>
    <phoneticPr fontId="0" type="noConversion"/>
  </si>
  <si>
    <t xml:space="preserve">Year </t>
    <phoneticPr fontId="0" type="noConversion"/>
  </si>
  <si>
    <t>C_CE_I_R</t>
    <phoneticPr fontId="0" type="noConversion"/>
  </si>
  <si>
    <t>Current Liabilities</t>
    <phoneticPr fontId="0" type="noConversion"/>
  </si>
  <si>
    <t>Noncurrent Liabilities</t>
    <phoneticPr fontId="0" type="noConversion"/>
  </si>
  <si>
    <t>Unrestricted Net Assets</t>
    <phoneticPr fontId="0" type="noConversion"/>
  </si>
  <si>
    <t>Restricted Net Assets</t>
    <phoneticPr fontId="0" type="noConversion"/>
  </si>
  <si>
    <t>Total Net Assets</t>
    <phoneticPr fontId="0" type="noConversion"/>
  </si>
  <si>
    <t>Total Assets</t>
    <phoneticPr fontId="0" type="noConversion"/>
  </si>
  <si>
    <t>Total Liabilities</t>
    <phoneticPr fontId="0" type="noConversion"/>
  </si>
  <si>
    <t xml:space="preserve">Total Revenue </t>
    <phoneticPr fontId="0" type="noConversion"/>
  </si>
  <si>
    <t>Total Expenses</t>
    <phoneticPr fontId="0" type="noConversion"/>
  </si>
  <si>
    <t>NonCurrent Liability</t>
    <phoneticPr fontId="0" type="noConversion"/>
  </si>
  <si>
    <t>Change in Net Assets</t>
    <phoneticPr fontId="0" type="noConversion"/>
  </si>
  <si>
    <t>Population</t>
    <phoneticPr fontId="0" type="noConversion"/>
  </si>
  <si>
    <t>1.Cash_ratio</t>
    <phoneticPr fontId="0" type="noConversion"/>
  </si>
  <si>
    <t>2.quick_ratio</t>
    <phoneticPr fontId="0" type="noConversion"/>
  </si>
  <si>
    <t>3.current_ratio</t>
    <phoneticPr fontId="0" type="noConversion"/>
  </si>
  <si>
    <t>4.op_ratio</t>
    <phoneticPr fontId="0" type="noConversion"/>
  </si>
  <si>
    <t>5. surplus_percap</t>
    <phoneticPr fontId="0" type="noConversion"/>
  </si>
  <si>
    <t>6.net_asst_rat</t>
    <phoneticPr fontId="0" type="noConversion"/>
  </si>
  <si>
    <t>7.long_term_liab</t>
    <phoneticPr fontId="0" type="noConversion"/>
  </si>
  <si>
    <t>8.lt_percapita</t>
    <phoneticPr fontId="0" type="noConversion"/>
  </si>
  <si>
    <t>Alabama</t>
    <phoneticPr fontId="0" type="noConversion"/>
  </si>
  <si>
    <t>Alaska</t>
    <phoneticPr fontId="0" type="noConversion"/>
  </si>
  <si>
    <t>Arizona</t>
    <phoneticPr fontId="0" type="noConversion"/>
  </si>
  <si>
    <t>Arkansas</t>
    <phoneticPr fontId="0" type="noConversion"/>
  </si>
  <si>
    <t>California</t>
    <phoneticPr fontId="0" type="noConversion"/>
  </si>
  <si>
    <t>Colorado</t>
    <phoneticPr fontId="0" type="noConversion"/>
  </si>
  <si>
    <t>Connecticut</t>
    <phoneticPr fontId="0" type="noConversion"/>
  </si>
  <si>
    <t>Delaware</t>
    <phoneticPr fontId="0" type="noConversion"/>
  </si>
  <si>
    <t xml:space="preserve">Florida </t>
    <phoneticPr fontId="0" type="noConversion"/>
  </si>
  <si>
    <t>Georgia</t>
    <phoneticPr fontId="0" type="noConversion"/>
  </si>
  <si>
    <t>Hawaii</t>
    <phoneticPr fontId="0" type="noConversion"/>
  </si>
  <si>
    <t>Ratio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</si>
</sst>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#,###,"/>
    <numFmt numFmtId="167" formatCode="0.00000"/>
  </numFmts>
  <fonts count="8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Verdana"/>
      <family val="2"/>
    </font>
    <font>
      <sz val="12"/>
      <color rgb="FF000000"/>
      <name val="Calibri"/>
      <family val="2"/>
      <scheme val="minor"/>
    </font>
    <font>
      <b/>
      <sz val="9"/>
      <color indexed="81"/>
      <name val="Verdana"/>
      <family val="2"/>
    </font>
    <font>
      <sz val="9"/>
      <color indexed="81"/>
      <name val="Verdan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7">
    <xf numFmtId="0" fontId="0" fillId="0" borderId="0" xfId="0"/>
    <xf numFmtId="0" fontId="0" fillId="2" borderId="0" xfId="0" applyFill="1"/>
    <xf numFmtId="1" fontId="0" fillId="3" borderId="0" xfId="0" applyNumberFormat="1" applyFill="1"/>
    <xf numFmtId="1" fontId="0" fillId="2" borderId="0" xfId="0" applyNumberFormat="1" applyFill="1"/>
    <xf numFmtId="1" fontId="0" fillId="3" borderId="0" xfId="0" applyNumberFormat="1" applyFill="1" applyBorder="1"/>
    <xf numFmtId="0" fontId="0" fillId="0" borderId="0" xfId="0" applyBorder="1"/>
    <xf numFmtId="1" fontId="0" fillId="3" borderId="0" xfId="0" applyNumberFormat="1" applyFill="1" applyBorder="1" applyAlignment="1">
      <alignment wrapText="1"/>
    </xf>
    <xf numFmtId="0" fontId="0" fillId="4" borderId="0" xfId="0" applyFill="1"/>
    <xf numFmtId="0" fontId="0" fillId="5" borderId="0" xfId="0" applyFill="1"/>
    <xf numFmtId="0" fontId="0" fillId="6" borderId="0" xfId="0" applyFill="1"/>
    <xf numFmtId="0" fontId="0" fillId="0" borderId="0" xfId="0" applyFill="1" applyBorder="1"/>
    <xf numFmtId="0" fontId="0" fillId="0" borderId="0" xfId="0" applyFill="1"/>
    <xf numFmtId="0" fontId="0" fillId="3" borderId="0" xfId="0" applyFill="1"/>
    <xf numFmtId="0" fontId="0" fillId="7" borderId="0" xfId="0" applyFill="1"/>
    <xf numFmtId="164" fontId="0" fillId="0" borderId="0" xfId="1" applyNumberFormat="1" applyFont="1" applyFill="1"/>
    <xf numFmtId="164" fontId="2" fillId="0" borderId="0" xfId="1" applyNumberFormat="1" applyFont="1" applyFill="1"/>
    <xf numFmtId="37" fontId="0" fillId="0" borderId="0" xfId="1" applyNumberFormat="1" applyFont="1" applyFill="1"/>
    <xf numFmtId="37" fontId="2" fillId="0" borderId="0" xfId="1" applyNumberFormat="1" applyFont="1" applyFill="1"/>
    <xf numFmtId="165" fontId="0" fillId="0" borderId="0" xfId="0" applyNumberFormat="1" applyBorder="1"/>
    <xf numFmtId="2" fontId="0" fillId="0" borderId="0" xfId="0" applyNumberFormat="1" applyBorder="1"/>
    <xf numFmtId="2" fontId="0" fillId="0" borderId="0" xfId="0" applyNumberFormat="1"/>
    <xf numFmtId="2" fontId="3" fillId="0" borderId="0" xfId="0" applyNumberFormat="1" applyFont="1"/>
    <xf numFmtId="0" fontId="0" fillId="0" borderId="0" xfId="0" applyAlignment="1"/>
    <xf numFmtId="164" fontId="0" fillId="0" borderId="0" xfId="1" applyNumberFormat="1" applyFont="1"/>
    <xf numFmtId="43" fontId="0" fillId="0" borderId="0" xfId="1" applyFont="1"/>
    <xf numFmtId="0" fontId="0" fillId="0" borderId="1" xfId="0" applyFill="1" applyBorder="1"/>
    <xf numFmtId="164" fontId="0" fillId="0" borderId="1" xfId="1" applyNumberFormat="1" applyFont="1" applyFill="1" applyBorder="1"/>
    <xf numFmtId="43" fontId="0" fillId="0" borderId="1" xfId="1" applyFont="1" applyFill="1" applyBorder="1"/>
    <xf numFmtId="164" fontId="0" fillId="0" borderId="0" xfId="1" applyNumberFormat="1" applyFont="1" applyFill="1" applyBorder="1"/>
    <xf numFmtId="43" fontId="0" fillId="0" borderId="0" xfId="1" applyFont="1" applyFill="1" applyBorder="1"/>
    <xf numFmtId="0" fontId="0" fillId="0" borderId="0" xfId="0" applyFont="1" applyFill="1" applyBorder="1"/>
    <xf numFmtId="0" fontId="0" fillId="0" borderId="2" xfId="0" applyFont="1" applyFill="1" applyBorder="1"/>
    <xf numFmtId="164" fontId="0" fillId="0" borderId="2" xfId="1" applyNumberFormat="1" applyFont="1" applyFill="1" applyBorder="1"/>
    <xf numFmtId="43" fontId="0" fillId="0" borderId="2" xfId="1" applyFont="1" applyFill="1" applyBorder="1"/>
    <xf numFmtId="164" fontId="0" fillId="0" borderId="1" xfId="1" applyNumberFormat="1" applyFont="1" applyBorder="1"/>
    <xf numFmtId="43" fontId="0" fillId="0" borderId="1" xfId="1" applyFont="1" applyBorder="1"/>
    <xf numFmtId="0" fontId="0" fillId="0" borderId="0" xfId="0" applyFont="1" applyFill="1"/>
    <xf numFmtId="2" fontId="0" fillId="0" borderId="0" xfId="0" applyNumberFormat="1" applyFont="1" applyFill="1"/>
    <xf numFmtId="2" fontId="0" fillId="0" borderId="0" xfId="0" applyNumberFormat="1" applyFill="1"/>
    <xf numFmtId="166" fontId="2" fillId="0" borderId="0" xfId="1" applyNumberFormat="1" applyFont="1" applyFill="1"/>
    <xf numFmtId="37" fontId="0" fillId="0" borderId="0" xfId="0" applyNumberFormat="1" applyFill="1" applyBorder="1"/>
    <xf numFmtId="165" fontId="0" fillId="0" borderId="0" xfId="0" applyNumberFormat="1" applyFill="1" applyBorder="1"/>
    <xf numFmtId="37" fontId="2" fillId="0" borderId="0" xfId="1" applyNumberFormat="1" applyFont="1" applyFill="1" applyBorder="1"/>
    <xf numFmtId="167" fontId="3" fillId="0" borderId="0" xfId="0" applyNumberFormat="1" applyFont="1"/>
    <xf numFmtId="0" fontId="0" fillId="0" borderId="2" xfId="0" applyFill="1" applyBorder="1"/>
    <xf numFmtId="166" fontId="2" fillId="0" borderId="2" xfId="1" applyNumberFormat="1" applyFont="1" applyFill="1" applyBorder="1"/>
    <xf numFmtId="37" fontId="2" fillId="0" borderId="2" xfId="1" applyNumberFormat="1" applyFont="1" applyFill="1" applyBorder="1"/>
    <xf numFmtId="37" fontId="0" fillId="0" borderId="2" xfId="0" applyNumberFormat="1" applyFill="1" applyBorder="1"/>
    <xf numFmtId="165" fontId="0" fillId="0" borderId="2" xfId="0" applyNumberFormat="1" applyFill="1" applyBorder="1"/>
    <xf numFmtId="2" fontId="0" fillId="0" borderId="2" xfId="0" applyNumberFormat="1" applyBorder="1"/>
    <xf numFmtId="2" fontId="3" fillId="0" borderId="2" xfId="0" applyNumberFormat="1" applyFont="1" applyBorder="1"/>
    <xf numFmtId="0" fontId="0" fillId="0" borderId="2" xfId="0" applyBorder="1"/>
    <xf numFmtId="1" fontId="0" fillId="0" borderId="0" xfId="0" applyNumberFormat="1"/>
    <xf numFmtId="1" fontId="0" fillId="0" borderId="0" xfId="0" applyNumberFormat="1" applyFill="1"/>
    <xf numFmtId="37" fontId="0" fillId="0" borderId="0" xfId="0" applyNumberFormat="1"/>
    <xf numFmtId="0" fontId="2" fillId="0" borderId="0" xfId="0" applyFont="1"/>
    <xf numFmtId="0" fontId="0" fillId="0" borderId="0" xfId="0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ags.hawaii.gov/wp-content/uploads/2012/09/soh-cafr-20130630.pdf" TargetMode="Externa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G56"/>
  <sheetViews>
    <sheetView tabSelected="1" workbookViewId="0">
      <selection activeCell="B1" sqref="B1"/>
    </sheetView>
  </sheetViews>
  <sheetFormatPr baseColWidth="10" defaultColWidth="13.83203125" defaultRowHeight="15" x14ac:dyDescent="0"/>
  <cols>
    <col min="8" max="8" width="13.83203125" style="53"/>
    <col min="11" max="11" width="13.83203125" style="11"/>
    <col min="12" max="12" width="13.83203125" style="52"/>
    <col min="13" max="13" width="13.83203125" style="53"/>
    <col min="14" max="16" width="15.6640625" bestFit="1" customWidth="1"/>
    <col min="17" max="17" width="17.6640625" bestFit="1" customWidth="1"/>
    <col min="18" max="18" width="18.33203125" style="5" bestFit="1" customWidth="1"/>
    <col min="19" max="19" width="13.83203125" style="5"/>
    <col min="20" max="20" width="22.1640625" style="5" bestFit="1" customWidth="1"/>
    <col min="21" max="21" width="16.1640625" style="5" bestFit="1" customWidth="1"/>
    <col min="22" max="22" width="17.1640625" style="5" bestFit="1" customWidth="1"/>
    <col min="23" max="23" width="18.6640625" style="5" bestFit="1" customWidth="1"/>
    <col min="24" max="24" width="13.83203125" style="5"/>
    <col min="65" max="65" width="30.6640625" bestFit="1" customWidth="1"/>
  </cols>
  <sheetData>
    <row r="1" spans="1:85">
      <c r="A1" t="s">
        <v>0</v>
      </c>
      <c r="B1" t="s">
        <v>147</v>
      </c>
      <c r="C1" t="s">
        <v>148</v>
      </c>
      <c r="D1" s="1" t="s">
        <v>1</v>
      </c>
      <c r="E1" s="1" t="s">
        <v>149</v>
      </c>
      <c r="F1" s="1" t="s">
        <v>2</v>
      </c>
      <c r="G1" s="1" t="s">
        <v>150</v>
      </c>
      <c r="H1" s="3" t="s">
        <v>151</v>
      </c>
      <c r="I1" s="1" t="s">
        <v>152</v>
      </c>
      <c r="J1" s="1" t="s">
        <v>153</v>
      </c>
      <c r="K1" s="1" t="s">
        <v>154</v>
      </c>
      <c r="L1" s="3" t="s">
        <v>155</v>
      </c>
      <c r="M1" s="3" t="s">
        <v>156</v>
      </c>
      <c r="N1" s="2" t="s">
        <v>3</v>
      </c>
      <c r="O1" s="2" t="s">
        <v>157</v>
      </c>
      <c r="P1" s="2" t="s">
        <v>158</v>
      </c>
      <c r="Q1" s="2" t="s">
        <v>159</v>
      </c>
      <c r="R1" s="4" t="s">
        <v>160</v>
      </c>
      <c r="S1" s="5" t="s">
        <v>161</v>
      </c>
      <c r="T1" s="6" t="s">
        <v>4</v>
      </c>
      <c r="U1" s="4" t="s">
        <v>5</v>
      </c>
      <c r="V1" s="4" t="s">
        <v>6</v>
      </c>
      <c r="W1" s="4" t="s">
        <v>7</v>
      </c>
      <c r="X1" s="5" t="s">
        <v>162</v>
      </c>
      <c r="Y1" t="s">
        <v>163</v>
      </c>
      <c r="Z1" t="s">
        <v>164</v>
      </c>
      <c r="AA1" t="s">
        <v>165</v>
      </c>
      <c r="AB1" t="s">
        <v>166</v>
      </c>
      <c r="AC1" t="s">
        <v>167</v>
      </c>
      <c r="AD1" s="7" t="s">
        <v>168</v>
      </c>
      <c r="AE1" s="7" t="s">
        <v>169</v>
      </c>
      <c r="AF1" s="7" t="s">
        <v>8</v>
      </c>
      <c r="AG1" s="7" t="s">
        <v>9</v>
      </c>
      <c r="AH1" s="7" t="s">
        <v>10</v>
      </c>
      <c r="AI1" s="8" t="s">
        <v>11</v>
      </c>
      <c r="AJ1" s="8" t="s">
        <v>12</v>
      </c>
      <c r="AK1" s="8" t="s">
        <v>13</v>
      </c>
      <c r="AL1" s="9" t="s">
        <v>14</v>
      </c>
      <c r="AM1" s="9" t="s">
        <v>15</v>
      </c>
      <c r="AN1" s="9" t="s">
        <v>16</v>
      </c>
      <c r="AO1" s="9" t="s">
        <v>17</v>
      </c>
      <c r="AP1" s="9" t="s">
        <v>18</v>
      </c>
      <c r="AQ1" s="9" t="s">
        <v>19</v>
      </c>
      <c r="AR1" s="9" t="s">
        <v>20</v>
      </c>
      <c r="AS1" s="9" t="s">
        <v>21</v>
      </c>
      <c r="AT1" s="10" t="s">
        <v>162</v>
      </c>
      <c r="AU1" s="11" t="s">
        <v>163</v>
      </c>
      <c r="AV1" s="11" t="s">
        <v>164</v>
      </c>
      <c r="AW1" s="11" t="s">
        <v>165</v>
      </c>
      <c r="AX1" s="11" t="s">
        <v>166</v>
      </c>
      <c r="AY1" s="11" t="s">
        <v>167</v>
      </c>
      <c r="AZ1" s="12" t="s">
        <v>14</v>
      </c>
      <c r="BA1" s="12" t="s">
        <v>15</v>
      </c>
      <c r="BB1" s="12" t="s">
        <v>16</v>
      </c>
      <c r="BC1" s="12" t="s">
        <v>17</v>
      </c>
      <c r="BD1" s="12" t="s">
        <v>18</v>
      </c>
      <c r="BE1" s="12" t="s">
        <v>22</v>
      </c>
      <c r="BF1" s="12" t="s">
        <v>23</v>
      </c>
      <c r="BG1" s="12" t="s">
        <v>24</v>
      </c>
      <c r="BH1" s="13" t="s">
        <v>168</v>
      </c>
      <c r="BI1" s="13" t="s">
        <v>169</v>
      </c>
      <c r="BJ1" s="13" t="s">
        <v>25</v>
      </c>
      <c r="BK1" s="13" t="s">
        <v>9</v>
      </c>
      <c r="BL1" s="13" t="s">
        <v>10</v>
      </c>
      <c r="BM1" s="56" t="s">
        <v>181</v>
      </c>
    </row>
    <row r="2" spans="1:85">
      <c r="A2" t="s">
        <v>26</v>
      </c>
      <c r="B2" s="11" t="s">
        <v>170</v>
      </c>
      <c r="C2" s="11">
        <v>2013</v>
      </c>
      <c r="D2" s="14">
        <v>7219595</v>
      </c>
      <c r="E2" s="14">
        <v>8290441</v>
      </c>
      <c r="F2" s="14">
        <f>SUM(E2,20984,1114251,199314,84447)</f>
        <v>9709437</v>
      </c>
      <c r="G2" s="14">
        <f>8184380-(307891+6005339)</f>
        <v>1871150</v>
      </c>
      <c r="H2" s="14">
        <v>6313230</v>
      </c>
      <c r="I2" s="14">
        <v>-4905434</v>
      </c>
      <c r="J2" s="14">
        <v>7546452</v>
      </c>
      <c r="K2" s="15">
        <v>23533161</v>
      </c>
      <c r="L2" s="14">
        <v>31717541</v>
      </c>
      <c r="M2" s="15">
        <v>8184380</v>
      </c>
      <c r="N2" s="16">
        <v>7938621000</v>
      </c>
      <c r="O2" s="17">
        <f>21225266*1000</f>
        <v>21225266000</v>
      </c>
      <c r="P2" s="16">
        <f>20791179*1000</f>
        <v>20791179000</v>
      </c>
      <c r="Q2" s="16">
        <f t="shared" ref="Q2:Q30" si="0">H2*1000</f>
        <v>6313230000</v>
      </c>
      <c r="R2" s="16">
        <v>434087000</v>
      </c>
      <c r="S2" s="5">
        <v>4822023</v>
      </c>
      <c r="T2" s="18">
        <v>53779249371.178909</v>
      </c>
      <c r="U2" s="18">
        <v>8026875960</v>
      </c>
      <c r="V2" s="18">
        <v>5064992000</v>
      </c>
      <c r="W2" s="18">
        <v>176340520000</v>
      </c>
      <c r="X2" s="19">
        <f t="shared" ref="X2:X51" si="1">D2/G2</f>
        <v>3.8583731929562033</v>
      </c>
      <c r="Y2" s="20">
        <f t="shared" ref="Y2:Y51" si="2">E2/G2</f>
        <v>4.4306661678646817</v>
      </c>
      <c r="Z2" s="20">
        <f t="shared" ref="Z2:Z51" si="3">F2/G2</f>
        <v>5.1890211901771641</v>
      </c>
      <c r="AA2" s="20">
        <f t="shared" ref="AA2:AA51" si="4">O2/P2</f>
        <v>1.0208784215652225</v>
      </c>
      <c r="AB2" s="20">
        <f t="shared" ref="AB2:AB51" si="5">R2/S2</f>
        <v>90.021760576421968</v>
      </c>
      <c r="AC2" s="20">
        <f t="shared" ref="AC2:AC51" si="6">(I2+J2)/L2</f>
        <v>8.3266795493383297E-2</v>
      </c>
      <c r="AD2" s="20">
        <f t="shared" ref="AD2:AD51" si="7">H2/L2</f>
        <v>0.19904537996813815</v>
      </c>
      <c r="AE2" s="20">
        <f t="shared" ref="AE2:AE51" si="8">Q2/S2</f>
        <v>1309.2492507812592</v>
      </c>
      <c r="AF2" s="20">
        <f t="shared" ref="AF2:AF51" si="9">N2/W2</f>
        <v>4.5018700183032237E-2</v>
      </c>
      <c r="AG2" s="20">
        <f t="shared" ref="AG2:AG51" si="10">O2/W2</f>
        <v>0.12036522292210548</v>
      </c>
      <c r="AH2" s="20">
        <f t="shared" ref="AH2:AH51" si="11">P2/W2</f>
        <v>0.11790358222829331</v>
      </c>
      <c r="AI2" s="21">
        <f t="shared" ref="AI2:AI51" si="12">V2/$W2</f>
        <v>2.8722791562597185E-2</v>
      </c>
      <c r="AJ2" s="21">
        <f>T2/$W2</f>
        <v>0.304973861771412</v>
      </c>
      <c r="AK2" s="21">
        <f>U2/$W2</f>
        <v>4.551918050372087E-2</v>
      </c>
      <c r="AL2">
        <f t="shared" ref="AL2:AS33" si="13">1/AD2</f>
        <v>5.0239799595452723</v>
      </c>
      <c r="AM2">
        <f t="shared" si="13"/>
        <v>7.6379650353305679E-4</v>
      </c>
      <c r="AN2">
        <f t="shared" si="13"/>
        <v>22.212991399891745</v>
      </c>
      <c r="AO2">
        <f t="shared" si="13"/>
        <v>8.3080475881904139</v>
      </c>
      <c r="AP2">
        <f t="shared" si="13"/>
        <v>8.4815065081205834</v>
      </c>
      <c r="AQ2">
        <f t="shared" si="13"/>
        <v>34.815557457938731</v>
      </c>
      <c r="AR2">
        <f t="shared" si="13"/>
        <v>3.278969529360956</v>
      </c>
      <c r="AS2">
        <f t="shared" si="13"/>
        <v>21.96876105707257</v>
      </c>
      <c r="AT2">
        <f t="shared" ref="AT2:AT52" si="14">STANDARDIZE(X2,$BO$3,$BQ$3)</f>
        <v>0.7556063753252299</v>
      </c>
      <c r="AU2">
        <f t="shared" ref="AU2:AU51" si="15">STANDARDIZE(Y2,$BO$4, $BQ$4)</f>
        <v>0.62364438357249397</v>
      </c>
      <c r="AV2">
        <f t="shared" ref="AV2:AV51" si="16">STANDARDIZE(Z2,$BO$5, $BQ$5)</f>
        <v>0.80086607252356456</v>
      </c>
      <c r="AW2">
        <f t="shared" ref="AW2:AW51" si="17">STANDARDIZE(AA2,$BO$6, $BQ$6)</f>
        <v>-0.40159590904899128</v>
      </c>
      <c r="AX2">
        <f t="shared" ref="AX2:AX51" si="18">STANDARDIZE(AB2,$BO$7,$BQ$7)</f>
        <v>-0.29552975873079201</v>
      </c>
      <c r="AY2">
        <f t="shared" ref="AY2:AY51" si="19">STANDARDIZE(AC2,$BO$8,$BQ$8)</f>
        <v>0.14270965994628379</v>
      </c>
      <c r="AZ2">
        <f>STANDARDIZE(AL2,$BO$14,$BQ$14)</f>
        <v>-8.8059383592898801E-3</v>
      </c>
      <c r="BA2">
        <f>STANDARDIZE(AM2,$BO$15,$BQ$15)</f>
        <v>0.17797727520604723</v>
      </c>
      <c r="BB2">
        <f>STANDARDIZE(AN2,$BO$16,$BQ$16)</f>
        <v>0.76037137268612831</v>
      </c>
      <c r="BC2">
        <f>STANDARDIZE(AO2,$BO$17,$BQ$17)</f>
        <v>0.34490469845007565</v>
      </c>
      <c r="BD2">
        <f t="shared" ref="BD2:BD51" si="20">STANDARDIZE(AP2,$BO$18,$BQ$18)</f>
        <v>0.21005386476831747</v>
      </c>
      <c r="BE2">
        <f t="shared" ref="BE2:BE51" si="21">STANDARDIZE($AQ2,$BO$22,$BQ$22)</f>
        <v>-0.18357167526020868</v>
      </c>
      <c r="BF2">
        <f t="shared" ref="BF2:BF51" si="22">STANDARDIZE($AR2,$BO$23,$BQ$23)</f>
        <v>-0.47494267243091109</v>
      </c>
      <c r="BG2">
        <f t="shared" ref="BG2:BG51" si="23">STANDARDIZE($AS2,$BO$24,$BQ$24)</f>
        <v>-0.16791018746315275</v>
      </c>
      <c r="BH2">
        <f t="shared" ref="BH2:BH51" si="24">STANDARDIZE(AD2,$BO$9,$BQ$9)</f>
        <v>-0.52221898185075877</v>
      </c>
      <c r="BI2">
        <f t="shared" ref="BI2:BI51" si="25">STANDARDIZE(AE2,$BO$10,$BQ$10)</f>
        <v>-0.68567402881063988</v>
      </c>
      <c r="BJ2">
        <f t="shared" ref="BJ2:BJ51" si="26">STANDARDIZE(AF2,$BO$11,$BQ$11)</f>
        <v>-0.78950404904293803</v>
      </c>
      <c r="BK2">
        <f t="shared" ref="BK2:BK51" si="27">STANDARDIZE(AG2,$BO$12,$BQ$12)</f>
        <v>-0.3825574112231595</v>
      </c>
      <c r="BL2">
        <f t="shared" ref="BL2:BL51" si="28">STANDARDIZE(AH2,$BO$13,$BQ$13)</f>
        <v>-0.36747014737823541</v>
      </c>
      <c r="BM2" t="s">
        <v>93</v>
      </c>
      <c r="BN2" t="s">
        <v>27</v>
      </c>
      <c r="BO2" t="s">
        <v>28</v>
      </c>
      <c r="BP2" t="s">
        <v>29</v>
      </c>
      <c r="BQ2" t="s">
        <v>30</v>
      </c>
      <c r="BR2" t="s">
        <v>31</v>
      </c>
      <c r="BS2" t="s">
        <v>32</v>
      </c>
    </row>
    <row r="3" spans="1:85">
      <c r="A3" s="22" t="s">
        <v>33</v>
      </c>
      <c r="B3" s="11" t="s">
        <v>171</v>
      </c>
      <c r="C3" s="11">
        <v>2013</v>
      </c>
      <c r="D3" s="14">
        <v>70588228</v>
      </c>
      <c r="E3" s="14">
        <f>SUM(D3,881185,126551,416942)</f>
        <v>72012906</v>
      </c>
      <c r="F3" s="14">
        <f>SUM(E3,3463,513170,20222,615,2787)</f>
        <v>72553163</v>
      </c>
      <c r="G3" s="14">
        <f>SUM(1785406,3451974,35808,2626,22799,599)</f>
        <v>5299212</v>
      </c>
      <c r="H3" s="14">
        <f>(8299692-G3)</f>
        <v>3000480</v>
      </c>
      <c r="I3" s="14">
        <v>26628131</v>
      </c>
      <c r="J3" s="14">
        <v>42589363</v>
      </c>
      <c r="K3" s="15">
        <v>76005198</v>
      </c>
      <c r="L3" s="14">
        <v>84304890</v>
      </c>
      <c r="M3" s="15">
        <v>8299692</v>
      </c>
      <c r="N3" s="16">
        <v>4787355000</v>
      </c>
      <c r="O3" s="17">
        <f>(10129309+3548745+1947683+760456)*1000</f>
        <v>16386193000</v>
      </c>
      <c r="P3" s="16">
        <f>10502804*1000</f>
        <v>10502804000</v>
      </c>
      <c r="Q3" s="16">
        <f t="shared" si="0"/>
        <v>3000480000</v>
      </c>
      <c r="R3" s="16">
        <v>5883389000</v>
      </c>
      <c r="S3" s="5">
        <v>731449</v>
      </c>
      <c r="T3" s="18">
        <v>24884266054.7691</v>
      </c>
      <c r="U3" s="18">
        <v>7883447000</v>
      </c>
      <c r="V3" s="18">
        <v>3001064000</v>
      </c>
      <c r="W3" s="18">
        <v>36866615000</v>
      </c>
      <c r="X3" s="19">
        <f t="shared" si="1"/>
        <v>13.320514068884204</v>
      </c>
      <c r="Y3" s="20">
        <f t="shared" si="2"/>
        <v>13.589361210685665</v>
      </c>
      <c r="Z3" s="20">
        <f t="shared" si="3"/>
        <v>13.691311651619147</v>
      </c>
      <c r="AA3" s="20">
        <f t="shared" si="4"/>
        <v>1.5601731689937277</v>
      </c>
      <c r="AB3" s="20">
        <f t="shared" si="5"/>
        <v>8043.4712467991612</v>
      </c>
      <c r="AC3" s="20">
        <f t="shared" si="6"/>
        <v>0.82103771204730824</v>
      </c>
      <c r="AD3" s="20">
        <f t="shared" si="7"/>
        <v>3.5590818041515739E-2</v>
      </c>
      <c r="AE3" s="20">
        <f t="shared" si="8"/>
        <v>4102.1041795121737</v>
      </c>
      <c r="AF3" s="20">
        <f t="shared" si="9"/>
        <v>0.12985610422871749</v>
      </c>
      <c r="AG3" s="20">
        <f t="shared" si="10"/>
        <v>0.44447240409785382</v>
      </c>
      <c r="AH3" s="20">
        <f t="shared" si="11"/>
        <v>0.28488658370181258</v>
      </c>
      <c r="AI3" s="21">
        <f t="shared" si="12"/>
        <v>8.1403296722522528E-2</v>
      </c>
      <c r="AJ3" s="21">
        <f t="shared" ref="AJ3:AJ51" si="29">T3/W3</f>
        <v>0.67498103785143004</v>
      </c>
      <c r="AK3" s="21">
        <f t="shared" ref="AK3:AK27" si="30">U3/$W3</f>
        <v>0.21383701758352375</v>
      </c>
      <c r="AL3">
        <f t="shared" si="13"/>
        <v>28.097134458486643</v>
      </c>
      <c r="AM3">
        <f t="shared" si="13"/>
        <v>2.4377732896069962E-4</v>
      </c>
      <c r="AN3">
        <f t="shared" si="13"/>
        <v>7.700831670097581</v>
      </c>
      <c r="AO3">
        <f t="shared" si="13"/>
        <v>2.2498584631585872</v>
      </c>
      <c r="AP3">
        <f t="shared" si="13"/>
        <v>3.5101688082534914</v>
      </c>
      <c r="AQ3">
        <f t="shared" si="13"/>
        <v>12.284514758765559</v>
      </c>
      <c r="AR3">
        <f t="shared" si="13"/>
        <v>1.4815231005350253</v>
      </c>
      <c r="AS3">
        <f t="shared" si="13"/>
        <v>4.6764587876343935</v>
      </c>
      <c r="AT3">
        <f t="shared" si="14"/>
        <v>5.138866584334731</v>
      </c>
      <c r="AU3">
        <f t="shared" si="15"/>
        <v>4.679646609557726</v>
      </c>
      <c r="AV3">
        <f t="shared" si="16"/>
        <v>4.5377017372832285</v>
      </c>
      <c r="AW3">
        <f t="shared" si="17"/>
        <v>4.5056828453143973</v>
      </c>
      <c r="AX3">
        <f t="shared" si="18"/>
        <v>5.8480767846318136</v>
      </c>
      <c r="AY3">
        <f t="shared" si="19"/>
        <v>1.9827858758870684</v>
      </c>
      <c r="AZ3">
        <f t="shared" ref="AZ3:AZ51" si="31">STANDARDIZE(AL3,$BO$14,$BQ$14)</f>
        <v>4.0940644638982588</v>
      </c>
      <c r="BA3">
        <f t="shared" ref="BA3:BA51" si="32">STANDARDIZE(AM3,$BO$15,$BQ$15)</f>
        <v>-0.62685502668572357</v>
      </c>
      <c r="BB3">
        <f t="shared" ref="BB3:BB51" si="33">STANDARDIZE(AN3,$BO$16,$BQ$16)</f>
        <v>-1.802734660204252</v>
      </c>
      <c r="BC3">
        <f t="shared" ref="BC3:BC51" si="34">STANDARDIZE(AO3,$BO$17,$BQ$17)</f>
        <v>-2.9584487474432222</v>
      </c>
      <c r="BD3">
        <f t="shared" si="20"/>
        <v>-2.4572491614640293</v>
      </c>
      <c r="BE3">
        <f t="shared" si="21"/>
        <v>-0.23438441433912163</v>
      </c>
      <c r="BF3">
        <f t="shared" si="22"/>
        <v>-1.6754171057873808</v>
      </c>
      <c r="BG3">
        <f t="shared" si="23"/>
        <v>-0.17139230443946776</v>
      </c>
      <c r="BH3">
        <f t="shared" si="24"/>
        <v>-0.93737181589138674</v>
      </c>
      <c r="BI3">
        <f t="shared" si="25"/>
        <v>0.62741724339672333</v>
      </c>
      <c r="BJ3">
        <f t="shared" si="26"/>
        <v>3.2808078132924074</v>
      </c>
      <c r="BK3">
        <f t="shared" si="27"/>
        <v>5.6091726054783058</v>
      </c>
      <c r="BL3">
        <f t="shared" si="28"/>
        <v>4.3013458817053332</v>
      </c>
      <c r="BM3" t="s">
        <v>34</v>
      </c>
      <c r="BN3" s="23">
        <f>COUNT($X$2:$X$51)</f>
        <v>50</v>
      </c>
      <c r="BO3" s="24">
        <f>AVERAGE($X$2:$X$51)</f>
        <v>2.2272462168800367</v>
      </c>
      <c r="BP3" s="24">
        <f>MEDIAN($X$2:$X$51)</f>
        <v>1.5903061196432855</v>
      </c>
      <c r="BQ3" s="24">
        <f>STDEV($X$2:$X$51)</f>
        <v>2.1586993298912982</v>
      </c>
      <c r="BR3" s="24">
        <f>MAX($X$2:$X$51)</f>
        <v>13.320514068884204</v>
      </c>
      <c r="BS3" s="24">
        <f>MIN($X$2:$X$51)</f>
        <v>0.33518833299048323</v>
      </c>
      <c r="BT3" s="20"/>
      <c r="BU3" s="20"/>
      <c r="BV3" s="20"/>
      <c r="BW3" s="20"/>
      <c r="BX3" s="20"/>
      <c r="BY3" s="20"/>
      <c r="BZ3" s="20"/>
      <c r="CA3" s="20"/>
      <c r="CB3" s="20"/>
      <c r="CC3" s="20"/>
      <c r="CD3" s="20"/>
      <c r="CE3" s="20"/>
      <c r="CF3" s="20"/>
      <c r="CG3" s="20"/>
    </row>
    <row r="4" spans="1:85">
      <c r="A4" t="s">
        <v>35</v>
      </c>
      <c r="B4" s="11" t="s">
        <v>172</v>
      </c>
      <c r="C4" s="11">
        <v>2013</v>
      </c>
      <c r="D4" s="14">
        <f>287760+14944+3295639+494080+928280+241162</f>
        <v>5261865</v>
      </c>
      <c r="E4" s="14">
        <f>D4+541954+207172+285858+356754</f>
        <v>6653603</v>
      </c>
      <c r="F4" s="14">
        <v>7811348</v>
      </c>
      <c r="G4" s="14">
        <v>5597679</v>
      </c>
      <c r="H4" s="14">
        <v>10908555</v>
      </c>
      <c r="I4" s="14">
        <v>-1462566</v>
      </c>
      <c r="J4" s="14">
        <v>6648055</v>
      </c>
      <c r="K4" s="15">
        <v>24128116</v>
      </c>
      <c r="L4" s="14">
        <v>40620272</v>
      </c>
      <c r="M4" s="15">
        <v>16506234</v>
      </c>
      <c r="N4" s="16">
        <f>(6575970+3974998+316050+27429+1592911+531186)*1000</f>
        <v>13018544000</v>
      </c>
      <c r="O4" s="16">
        <f>(13615450+4032681+13159688+667209)*1000</f>
        <v>31475028000</v>
      </c>
      <c r="P4" s="16">
        <f>29174355*1000</f>
        <v>29174355000</v>
      </c>
      <c r="Q4" s="16">
        <f t="shared" si="0"/>
        <v>10908555000</v>
      </c>
      <c r="R4" s="17">
        <f>2300673*1000</f>
        <v>2300673000</v>
      </c>
      <c r="S4" s="5">
        <v>6553255</v>
      </c>
      <c r="T4" s="18">
        <v>62325535346.947586</v>
      </c>
      <c r="U4" s="18">
        <v>453000000</v>
      </c>
      <c r="V4" s="18">
        <v>10355167000</v>
      </c>
      <c r="W4" s="18">
        <v>245070457000</v>
      </c>
      <c r="X4" s="19">
        <f t="shared" si="1"/>
        <v>0.94000834988930237</v>
      </c>
      <c r="Y4" s="20">
        <f t="shared" si="2"/>
        <v>1.1886360400444542</v>
      </c>
      <c r="Z4" s="20">
        <f t="shared" si="3"/>
        <v>1.3954619405650093</v>
      </c>
      <c r="AA4" s="20">
        <f t="shared" si="4"/>
        <v>1.0788594297971625</v>
      </c>
      <c r="AB4" s="20">
        <f t="shared" si="5"/>
        <v>351.07332157836066</v>
      </c>
      <c r="AC4" s="20">
        <f t="shared" si="6"/>
        <v>0.12765766314907984</v>
      </c>
      <c r="AD4" s="20">
        <f t="shared" si="7"/>
        <v>0.26854953113066304</v>
      </c>
      <c r="AE4" s="20">
        <f t="shared" si="8"/>
        <v>1664.6010265127788</v>
      </c>
      <c r="AF4" s="20">
        <f t="shared" si="9"/>
        <v>5.3121637586859359E-2</v>
      </c>
      <c r="AG4" s="20">
        <f t="shared" si="10"/>
        <v>0.12843256745548892</v>
      </c>
      <c r="AH4" s="20">
        <f t="shared" si="11"/>
        <v>0.11904476515502642</v>
      </c>
      <c r="AI4" s="21">
        <f t="shared" si="12"/>
        <v>4.2253836414072543E-2</v>
      </c>
      <c r="AJ4" s="21">
        <f t="shared" si="29"/>
        <v>0.25431680386896893</v>
      </c>
      <c r="AK4" s="21">
        <f t="shared" si="30"/>
        <v>1.8484480159107876E-3</v>
      </c>
      <c r="AL4">
        <f t="shared" si="13"/>
        <v>3.7237078604819795</v>
      </c>
      <c r="AM4">
        <f t="shared" si="13"/>
        <v>6.0074455324284472E-4</v>
      </c>
      <c r="AN4">
        <f t="shared" si="13"/>
        <v>18.824720875084033</v>
      </c>
      <c r="AO4">
        <f t="shared" si="13"/>
        <v>7.7861871004530965</v>
      </c>
      <c r="AP4">
        <f t="shared" si="13"/>
        <v>8.4002013754888498</v>
      </c>
      <c r="AQ4">
        <f t="shared" si="13"/>
        <v>23.666490072057748</v>
      </c>
      <c r="AR4">
        <f t="shared" si="13"/>
        <v>3.9321035212255486</v>
      </c>
      <c r="AS4">
        <f t="shared" si="13"/>
        <v>540.99438631346584</v>
      </c>
      <c r="AT4">
        <f t="shared" si="14"/>
        <v>-0.59630252771494274</v>
      </c>
      <c r="AU4">
        <f t="shared" si="15"/>
        <v>-0.81211489803579251</v>
      </c>
      <c r="AV4">
        <f t="shared" si="16"/>
        <v>-0.86643846907232225</v>
      </c>
      <c r="AW4">
        <f t="shared" si="17"/>
        <v>0.12599864144473208</v>
      </c>
      <c r="AX4">
        <f t="shared" si="18"/>
        <v>-9.3881646033943736E-2</v>
      </c>
      <c r="AY4">
        <f t="shared" si="19"/>
        <v>0.25342502964363611</v>
      </c>
      <c r="AZ4">
        <f t="shared" si="31"/>
        <v>-0.24002043962624275</v>
      </c>
      <c r="BA4">
        <f t="shared" si="32"/>
        <v>-7.4377797254370812E-2</v>
      </c>
      <c r="BB4">
        <f t="shared" si="33"/>
        <v>0.16194241483986013</v>
      </c>
      <c r="BC4">
        <f t="shared" si="34"/>
        <v>6.0349428737598965E-2</v>
      </c>
      <c r="BD4">
        <f t="shared" si="20"/>
        <v>0.16643071152273467</v>
      </c>
      <c r="BE4">
        <f t="shared" si="21"/>
        <v>-0.20871541403945204</v>
      </c>
      <c r="BF4">
        <f t="shared" si="22"/>
        <v>-3.8729027219998775E-2</v>
      </c>
      <c r="BG4">
        <f t="shared" si="23"/>
        <v>-6.3395015759152643E-2</v>
      </c>
      <c r="BH4">
        <f t="shared" si="24"/>
        <v>-0.34568768781649462</v>
      </c>
      <c r="BI4">
        <f t="shared" si="25"/>
        <v>-0.51860150725704957</v>
      </c>
      <c r="BJ4">
        <f t="shared" si="26"/>
        <v>-0.4007429523832895</v>
      </c>
      <c r="BK4">
        <f t="shared" si="27"/>
        <v>-0.23341739457683006</v>
      </c>
      <c r="BL4">
        <f t="shared" si="28"/>
        <v>-0.33556286883232317</v>
      </c>
      <c r="BM4" t="s">
        <v>36</v>
      </c>
      <c r="BN4" s="23">
        <f>COUNT($Y$2:$Y$51)</f>
        <v>50</v>
      </c>
      <c r="BO4" s="24">
        <f>AVERAGE($Y$2:$Y$51)</f>
        <v>3.0224399376827891</v>
      </c>
      <c r="BP4" s="24">
        <f>MEDIAN($Y$2:$Y$51)</f>
        <v>2.2791901888369672</v>
      </c>
      <c r="BQ4" s="24">
        <f>STDEV($Y$2:$Y$51)</f>
        <v>2.2580596687410028</v>
      </c>
      <c r="BR4" s="24">
        <f>MAX($Y$2:$Y$51)</f>
        <v>13.589361210685665</v>
      </c>
      <c r="BS4" s="24">
        <f>MIN($Y$2:$Y$51)</f>
        <v>0.7830861654558644</v>
      </c>
    </row>
    <row r="5" spans="1:85">
      <c r="A5" t="s">
        <v>37</v>
      </c>
      <c r="B5" s="11" t="s">
        <v>173</v>
      </c>
      <c r="C5" s="11">
        <v>2013</v>
      </c>
      <c r="D5" s="14">
        <f>1454599+2999610</f>
        <v>4454209</v>
      </c>
      <c r="E5" s="14">
        <f>D5+544373+367512+208104+34561+89+18377+54347</f>
        <v>5681572</v>
      </c>
      <c r="F5" s="14">
        <v>6045102</v>
      </c>
      <c r="G5" s="14">
        <v>1951263</v>
      </c>
      <c r="H5" s="14">
        <v>5643170</v>
      </c>
      <c r="I5" s="14">
        <v>1215681</v>
      </c>
      <c r="J5" s="14">
        <v>2248303</v>
      </c>
      <c r="K5" s="15">
        <v>15107988</v>
      </c>
      <c r="L5" s="14">
        <v>22702421</v>
      </c>
      <c r="M5" s="15">
        <v>7594433</v>
      </c>
      <c r="N5" s="16">
        <f>(3013345+2570848+437310+985771)*1000</f>
        <v>7007274000</v>
      </c>
      <c r="O5" s="16">
        <f>(7566314+3914280+6772437+640664)*1000</f>
        <v>18893695000</v>
      </c>
      <c r="P5" s="16">
        <f>(18601479)*1000</f>
        <v>18601479000</v>
      </c>
      <c r="Q5" s="16">
        <f t="shared" si="0"/>
        <v>5643170000</v>
      </c>
      <c r="R5" s="17">
        <f>292216*1000</f>
        <v>292216000</v>
      </c>
      <c r="S5" s="5">
        <v>2949131</v>
      </c>
      <c r="T5" s="18">
        <v>31868609770.513992</v>
      </c>
      <c r="U5" s="18">
        <v>2150866000</v>
      </c>
      <c r="V5" s="18">
        <v>3189765000</v>
      </c>
      <c r="W5" s="18">
        <v>108603298000</v>
      </c>
      <c r="X5" s="19">
        <f t="shared" si="1"/>
        <v>2.2827312361275749</v>
      </c>
      <c r="Y5" s="20">
        <f t="shared" si="2"/>
        <v>2.9117407545779321</v>
      </c>
      <c r="Z5" s="20">
        <f t="shared" si="3"/>
        <v>3.0980457273058528</v>
      </c>
      <c r="AA5" s="20">
        <f t="shared" si="4"/>
        <v>1.0157092884925978</v>
      </c>
      <c r="AB5" s="20">
        <f t="shared" si="5"/>
        <v>99.08545941160294</v>
      </c>
      <c r="AC5" s="20">
        <f t="shared" si="6"/>
        <v>0.15258214090911273</v>
      </c>
      <c r="AD5" s="20">
        <f t="shared" si="7"/>
        <v>0.2485712867363353</v>
      </c>
      <c r="AE5" s="20">
        <f t="shared" si="8"/>
        <v>1913.5026555280183</v>
      </c>
      <c r="AF5" s="20">
        <f t="shared" si="9"/>
        <v>6.4521742240277083E-2</v>
      </c>
      <c r="AG5" s="20">
        <f t="shared" si="10"/>
        <v>0.17396980890948635</v>
      </c>
      <c r="AH5" s="20">
        <f t="shared" si="11"/>
        <v>0.17127913555627011</v>
      </c>
      <c r="AI5" s="21">
        <f t="shared" si="12"/>
        <v>2.9370793141107004E-2</v>
      </c>
      <c r="AJ5" s="21">
        <f t="shared" si="29"/>
        <v>0.29344053410343018</v>
      </c>
      <c r="AK5" s="21">
        <f t="shared" si="30"/>
        <v>1.9804794510015707E-2</v>
      </c>
      <c r="AL5">
        <f t="shared" si="13"/>
        <v>4.0229908012694988</v>
      </c>
      <c r="AM5">
        <f t="shared" si="13"/>
        <v>5.2260183549317143E-4</v>
      </c>
      <c r="AN5">
        <f t="shared" si="13"/>
        <v>15.498651544095464</v>
      </c>
      <c r="AO5">
        <f t="shared" si="13"/>
        <v>5.7481238053223569</v>
      </c>
      <c r="AP5">
        <f t="shared" si="13"/>
        <v>5.8384227404713362</v>
      </c>
      <c r="AQ5">
        <f t="shared" si="13"/>
        <v>34.047429199329734</v>
      </c>
      <c r="AR5">
        <f t="shared" si="13"/>
        <v>3.4078454875205684</v>
      </c>
      <c r="AS5">
        <f t="shared" si="13"/>
        <v>50.49282382073082</v>
      </c>
      <c r="AT5">
        <f t="shared" si="14"/>
        <v>2.570298627476398E-2</v>
      </c>
      <c r="AU5">
        <f t="shared" si="15"/>
        <v>-4.9024029186340343E-2</v>
      </c>
      <c r="AV5">
        <f t="shared" si="16"/>
        <v>-0.11813707365566804</v>
      </c>
      <c r="AW5">
        <f t="shared" si="17"/>
        <v>-0.4486321114721033</v>
      </c>
      <c r="AX5">
        <f t="shared" si="18"/>
        <v>-0.2885285450351065</v>
      </c>
      <c r="AY5">
        <f t="shared" si="19"/>
        <v>0.31558922952183688</v>
      </c>
      <c r="AZ5">
        <f t="shared" si="31"/>
        <v>-0.18680192025499467</v>
      </c>
      <c r="BA5">
        <f t="shared" si="32"/>
        <v>-0.1953190749568097</v>
      </c>
      <c r="BB5">
        <f t="shared" si="33"/>
        <v>-0.42550070367585568</v>
      </c>
      <c r="BC5">
        <f t="shared" si="34"/>
        <v>-1.0509469124579902</v>
      </c>
      <c r="BD5">
        <f t="shared" si="20"/>
        <v>-1.208056462402759</v>
      </c>
      <c r="BE5">
        <f t="shared" si="21"/>
        <v>-0.18530398305017484</v>
      </c>
      <c r="BF5">
        <f t="shared" si="22"/>
        <v>-0.38886929056884978</v>
      </c>
      <c r="BG5">
        <f t="shared" si="23"/>
        <v>-0.16216635291554882</v>
      </c>
      <c r="BH5">
        <f t="shared" si="24"/>
        <v>-0.39642976978533429</v>
      </c>
      <c r="BI5">
        <f t="shared" si="25"/>
        <v>-0.4015776857416874</v>
      </c>
      <c r="BJ5">
        <f t="shared" si="26"/>
        <v>0.14620896964491045</v>
      </c>
      <c r="BK5">
        <f t="shared" si="27"/>
        <v>0.60842404660292093</v>
      </c>
      <c r="BL5">
        <f t="shared" si="28"/>
        <v>1.1249011523338612</v>
      </c>
      <c r="BM5" t="s">
        <v>38</v>
      </c>
      <c r="BN5" s="23">
        <f>COUNT($Z$2:$Z$51)</f>
        <v>50</v>
      </c>
      <c r="BO5" s="24">
        <f>AVERAGE($Z$2:$Z$51)</f>
        <v>3.366838846563843</v>
      </c>
      <c r="BP5" s="24">
        <f>MEDIAN($Z$2:$Z$51)</f>
        <v>2.6067312525155812</v>
      </c>
      <c r="BQ5" s="24">
        <f>STDEV($Z$2:$Z$51)</f>
        <v>2.2752647491627953</v>
      </c>
      <c r="BR5" s="24">
        <f>MAX($Z$2:$Z$51)</f>
        <v>13.691311651619147</v>
      </c>
      <c r="BS5" s="24">
        <f>MIN($Z$2:$Z$51)</f>
        <v>1.1467873987195276</v>
      </c>
    </row>
    <row r="6" spans="1:85">
      <c r="A6" t="s">
        <v>39</v>
      </c>
      <c r="B6" s="11" t="s">
        <v>174</v>
      </c>
      <c r="C6" s="11">
        <v>2013</v>
      </c>
      <c r="D6" s="14">
        <f>26130061+39963+2880885</f>
        <v>29050909</v>
      </c>
      <c r="E6" s="14">
        <f>D6+16599117</f>
        <v>45650026</v>
      </c>
      <c r="F6" s="14">
        <v>63858012</v>
      </c>
      <c r="G6" s="14">
        <v>49478977</v>
      </c>
      <c r="H6" s="14">
        <v>164333938</v>
      </c>
      <c r="I6" s="14">
        <v>-120208641</v>
      </c>
      <c r="J6" s="14">
        <f>20627+10091916+6525922+3001223+986054+4572209+3433770+839476+17258</f>
        <v>29488455</v>
      </c>
      <c r="K6" s="15">
        <v>-4070508</v>
      </c>
      <c r="L6" s="14">
        <v>208981299</v>
      </c>
      <c r="M6" s="15">
        <v>213812915</v>
      </c>
      <c r="N6" s="16">
        <f>(67502738+33839065+7289910+5219605+2295579+2498248)*1000</f>
        <v>118645145000</v>
      </c>
      <c r="O6" s="16">
        <f>(119254010+51481333+62266881+1811325)*1000</f>
        <v>234813549000</v>
      </c>
      <c r="P6" s="16">
        <f>224920214*1000</f>
        <v>224920214000</v>
      </c>
      <c r="Q6" s="16">
        <f t="shared" si="0"/>
        <v>164333938000</v>
      </c>
      <c r="R6" s="16">
        <f>9893335*1000</f>
        <v>9893335000</v>
      </c>
      <c r="S6" s="5">
        <v>38041430</v>
      </c>
      <c r="T6" s="18">
        <v>636216391910.70996</v>
      </c>
      <c r="U6" s="18">
        <v>65972999999.999992</v>
      </c>
      <c r="V6" s="18">
        <v>123462086000</v>
      </c>
      <c r="W6" s="18">
        <v>1856614186000</v>
      </c>
      <c r="X6" s="19">
        <f t="shared" si="1"/>
        <v>0.58713641149048013</v>
      </c>
      <c r="Y6" s="20">
        <f t="shared" si="2"/>
        <v>0.92261458841398436</v>
      </c>
      <c r="Z6" s="20">
        <f t="shared" si="3"/>
        <v>1.2906089792438513</v>
      </c>
      <c r="AA6" s="20">
        <f t="shared" si="4"/>
        <v>1.0439859754001479</v>
      </c>
      <c r="AB6" s="20">
        <f t="shared" si="5"/>
        <v>260.0673791705517</v>
      </c>
      <c r="AC6" s="20">
        <f t="shared" si="6"/>
        <v>-0.43410671880262358</v>
      </c>
      <c r="AD6" s="20">
        <f t="shared" si="7"/>
        <v>0.78635714672249213</v>
      </c>
      <c r="AE6" s="20">
        <f t="shared" si="8"/>
        <v>4319.8675233817448</v>
      </c>
      <c r="AF6" s="20">
        <f t="shared" si="9"/>
        <v>6.3904038811432418E-2</v>
      </c>
      <c r="AG6" s="20">
        <f t="shared" si="10"/>
        <v>0.12647406810237524</v>
      </c>
      <c r="AH6" s="20">
        <f t="shared" si="11"/>
        <v>0.12114537080241829</v>
      </c>
      <c r="AI6" s="21">
        <f t="shared" si="12"/>
        <v>6.6498514840067052E-2</v>
      </c>
      <c r="AJ6" s="21">
        <f t="shared" si="29"/>
        <v>0.34267560633122834</v>
      </c>
      <c r="AK6" s="21">
        <f t="shared" si="30"/>
        <v>3.5534038518867585E-2</v>
      </c>
      <c r="AL6">
        <f t="shared" si="13"/>
        <v>1.2716867954566999</v>
      </c>
      <c r="AM6">
        <f t="shared" si="13"/>
        <v>2.3148858028339831E-4</v>
      </c>
      <c r="AN6">
        <f t="shared" si="13"/>
        <v>15.64846320513157</v>
      </c>
      <c r="AO6">
        <f t="shared" si="13"/>
        <v>7.9067591879035914</v>
      </c>
      <c r="AP6">
        <f t="shared" si="13"/>
        <v>8.2545457030376124</v>
      </c>
      <c r="AQ6">
        <f t="shared" si="13"/>
        <v>15.03792983053923</v>
      </c>
      <c r="AR6">
        <f t="shared" si="13"/>
        <v>2.9182118059299662</v>
      </c>
      <c r="AS6">
        <f t="shared" si="13"/>
        <v>28.142030618586396</v>
      </c>
      <c r="AT6">
        <f t="shared" si="14"/>
        <v>-0.75976759833067853</v>
      </c>
      <c r="AU6">
        <f t="shared" si="15"/>
        <v>-0.92992465094581711</v>
      </c>
      <c r="AV6">
        <f t="shared" si="16"/>
        <v>-0.91252231991198363</v>
      </c>
      <c r="AW6">
        <f t="shared" si="17"/>
        <v>-0.19133017117534201</v>
      </c>
      <c r="AX6">
        <f t="shared" si="18"/>
        <v>-0.16417877990397051</v>
      </c>
      <c r="AY6">
        <f t="shared" si="19"/>
        <v>-1.1476728653781583</v>
      </c>
      <c r="AZ6">
        <f t="shared" si="31"/>
        <v>-0.67603904531216374</v>
      </c>
      <c r="BA6">
        <f t="shared" si="32"/>
        <v>-0.64587429053009104</v>
      </c>
      <c r="BB6">
        <f t="shared" si="33"/>
        <v>-0.39904129450806419</v>
      </c>
      <c r="BC6">
        <f t="shared" si="34"/>
        <v>0.12609386364017361</v>
      </c>
      <c r="BD6">
        <f t="shared" si="20"/>
        <v>8.8281159154268596E-2</v>
      </c>
      <c r="BE6">
        <f t="shared" si="21"/>
        <v>-0.22817482326577482</v>
      </c>
      <c r="BF6">
        <f t="shared" si="22"/>
        <v>-0.71588472036591977</v>
      </c>
      <c r="BG6">
        <f t="shared" si="23"/>
        <v>-0.16666708828499952</v>
      </c>
      <c r="BH6">
        <f t="shared" si="24"/>
        <v>0.96947474366872377</v>
      </c>
      <c r="BI6">
        <f t="shared" si="25"/>
        <v>0.72980105979199839</v>
      </c>
      <c r="BJ6">
        <f t="shared" si="26"/>
        <v>0.11657291910666287</v>
      </c>
      <c r="BK6">
        <f t="shared" si="27"/>
        <v>-0.26962393378145938</v>
      </c>
      <c r="BL6">
        <f t="shared" si="28"/>
        <v>-0.27683029587110536</v>
      </c>
      <c r="BM6" t="s">
        <v>40</v>
      </c>
      <c r="BN6" s="23">
        <f>COUNT($AA$2:$AA$51)</f>
        <v>50</v>
      </c>
      <c r="BO6" s="24">
        <f>AVERAGE($AA$2:$AA$51)</f>
        <v>1.0650125690591512</v>
      </c>
      <c r="BP6" s="24">
        <f>MEDIAN($AA$2:$AA$51)</f>
        <v>1.04443469862764</v>
      </c>
      <c r="BQ6" s="24">
        <f>STDEV($AA$2:$AA$51)</f>
        <v>0.10989690507167181</v>
      </c>
      <c r="BR6" s="24">
        <f>MAX($AA$2:$AA$51)</f>
        <v>1.5601731689937277</v>
      </c>
      <c r="BS6" s="24">
        <f>MIN($AA$2:$AA$51)</f>
        <v>0.92947531386203408</v>
      </c>
    </row>
    <row r="7" spans="1:85">
      <c r="A7" t="s">
        <v>41</v>
      </c>
      <c r="B7" s="11" t="s">
        <v>175</v>
      </c>
      <c r="C7" s="11">
        <v>2013</v>
      </c>
      <c r="D7" s="14">
        <f>4718934+285319</f>
        <v>5004253</v>
      </c>
      <c r="E7" s="14">
        <f>D7+1256299+571288+524439</f>
        <v>7356279</v>
      </c>
      <c r="F7" s="14">
        <v>7565783</v>
      </c>
      <c r="G7" s="14">
        <v>3381180</v>
      </c>
      <c r="H7" s="14">
        <v>7056201</v>
      </c>
      <c r="I7" s="14">
        <v>3346997</v>
      </c>
      <c r="J7" s="14">
        <f>1145997+1265476+218076+41552+195350+18044+755723+981732</f>
        <v>4621950</v>
      </c>
      <c r="K7" s="15">
        <v>21647437</v>
      </c>
      <c r="L7" s="14">
        <v>32084267</v>
      </c>
      <c r="M7" s="15">
        <v>10437381</v>
      </c>
      <c r="N7" s="16">
        <f>(2498006+240895+5154624+606883+453305+445704+40634+552285+482)*1000</f>
        <v>9992818000</v>
      </c>
      <c r="O7" s="17">
        <f>(10107803+7136589+8590571+797203)*1000</f>
        <v>26632166000</v>
      </c>
      <c r="P7" s="16">
        <f>25304896*1000</f>
        <v>25304896000</v>
      </c>
      <c r="Q7" s="16">
        <f t="shared" si="0"/>
        <v>7056201000</v>
      </c>
      <c r="R7" s="17">
        <f>1327270*1000</f>
        <v>1327270000</v>
      </c>
      <c r="S7" s="5">
        <v>5187582</v>
      </c>
      <c r="T7" s="18">
        <v>84755337296.079346</v>
      </c>
      <c r="U7" s="18">
        <v>1438398000</v>
      </c>
      <c r="V7" s="18">
        <v>6110374000</v>
      </c>
      <c r="W7" s="18">
        <v>247068771000</v>
      </c>
      <c r="X7" s="19">
        <f t="shared" si="1"/>
        <v>1.4800315274549123</v>
      </c>
      <c r="Y7" s="20">
        <f t="shared" si="2"/>
        <v>2.1756543573545328</v>
      </c>
      <c r="Z7" s="20">
        <f t="shared" si="3"/>
        <v>2.2376161576727651</v>
      </c>
      <c r="AA7" s="20">
        <f t="shared" si="4"/>
        <v>1.0524511145985347</v>
      </c>
      <c r="AB7" s="20">
        <f t="shared" si="5"/>
        <v>255.85523274620044</v>
      </c>
      <c r="AC7" s="20">
        <f t="shared" si="6"/>
        <v>0.24837553558571246</v>
      </c>
      <c r="AD7" s="20">
        <f t="shared" si="7"/>
        <v>0.21992713749701684</v>
      </c>
      <c r="AE7" s="20">
        <f t="shared" si="8"/>
        <v>1360.2100169211783</v>
      </c>
      <c r="AF7" s="20">
        <f t="shared" si="9"/>
        <v>4.0445491996234526E-2</v>
      </c>
      <c r="AG7" s="20">
        <f t="shared" si="10"/>
        <v>0.10779252226903253</v>
      </c>
      <c r="AH7" s="20">
        <f t="shared" si="11"/>
        <v>0.10242045523430397</v>
      </c>
      <c r="AI7" s="21">
        <f t="shared" si="12"/>
        <v>2.4731470413150675E-2</v>
      </c>
      <c r="AJ7" s="21">
        <f t="shared" si="29"/>
        <v>0.34304350547030221</v>
      </c>
      <c r="AK7" s="21">
        <f t="shared" si="30"/>
        <v>5.8218527342737301E-3</v>
      </c>
      <c r="AL7">
        <f t="shared" si="13"/>
        <v>4.5469604678211404</v>
      </c>
      <c r="AM7">
        <f t="shared" si="13"/>
        <v>7.3518058796794483E-4</v>
      </c>
      <c r="AN7">
        <f t="shared" si="13"/>
        <v>24.724634332377512</v>
      </c>
      <c r="AO7">
        <f t="shared" si="13"/>
        <v>9.2770813684474636</v>
      </c>
      <c r="AP7">
        <f t="shared" si="13"/>
        <v>9.7636746264438319</v>
      </c>
      <c r="AQ7">
        <f t="shared" si="13"/>
        <v>40.434312367786326</v>
      </c>
      <c r="AR7">
        <f t="shared" si="13"/>
        <v>2.9150821515452696</v>
      </c>
      <c r="AS7">
        <f t="shared" si="13"/>
        <v>171.76662578785565</v>
      </c>
      <c r="AT7">
        <f t="shared" si="14"/>
        <v>-0.34614115966893383</v>
      </c>
      <c r="AU7">
        <f t="shared" si="15"/>
        <v>-0.3750058477420074</v>
      </c>
      <c r="AV7">
        <f t="shared" si="16"/>
        <v>-0.49630386499267209</v>
      </c>
      <c r="AW7">
        <f t="shared" si="17"/>
        <v>-0.11430216758537716</v>
      </c>
      <c r="AX7">
        <f t="shared" si="18"/>
        <v>-0.16743243360216425</v>
      </c>
      <c r="AY7">
        <f t="shared" si="19"/>
        <v>0.55450776538927249</v>
      </c>
      <c r="AZ7">
        <f t="shared" si="31"/>
        <v>-9.3629587157926297E-2</v>
      </c>
      <c r="BA7">
        <f t="shared" si="32"/>
        <v>0.13368849832786886</v>
      </c>
      <c r="BB7">
        <f t="shared" si="33"/>
        <v>1.2039722751420212</v>
      </c>
      <c r="BC7">
        <f t="shared" si="34"/>
        <v>0.873290493468041</v>
      </c>
      <c r="BD7">
        <f t="shared" si="20"/>
        <v>0.8979835747603917</v>
      </c>
      <c r="BE7">
        <f t="shared" si="21"/>
        <v>-0.1709000767463536</v>
      </c>
      <c r="BF7">
        <f t="shared" si="22"/>
        <v>-0.71797494681930241</v>
      </c>
      <c r="BG7">
        <f t="shared" si="23"/>
        <v>-0.13774568538197632</v>
      </c>
      <c r="BH7">
        <f t="shared" si="24"/>
        <v>-0.46918209676366696</v>
      </c>
      <c r="BI7">
        <f t="shared" si="25"/>
        <v>-0.66171426758031515</v>
      </c>
      <c r="BJ7">
        <f t="shared" si="26"/>
        <v>-1.0089165091605052</v>
      </c>
      <c r="BK7">
        <f t="shared" si="27"/>
        <v>-0.61498739818222692</v>
      </c>
      <c r="BL7">
        <f t="shared" si="28"/>
        <v>-0.80037571771760641</v>
      </c>
      <c r="BM7" t="s">
        <v>42</v>
      </c>
      <c r="BN7" s="23">
        <f>COUNT($AB$2:$AB$51)</f>
        <v>50</v>
      </c>
      <c r="BO7" s="24">
        <f>AVERAGE($AB$2:$AB$51)</f>
        <v>472.61152949323957</v>
      </c>
      <c r="BP7" s="24">
        <f>MEDIAN($AB$2:$AB$51)</f>
        <v>209.72465493647223</v>
      </c>
      <c r="BQ7" s="24">
        <f>STDEV($AB$2:$AB$51)</f>
        <v>1294.589656757144</v>
      </c>
      <c r="BR7" s="24">
        <f>MAX($AB$2:$AB$51)</f>
        <v>8043.4712467991612</v>
      </c>
      <c r="BS7" s="24">
        <f>MIN($AB$2:$AB$51)</f>
        <v>-486.52559712293521</v>
      </c>
    </row>
    <row r="8" spans="1:85" s="11" customFormat="1">
      <c r="A8" s="11" t="s">
        <v>43</v>
      </c>
      <c r="B8" s="11" t="s">
        <v>176</v>
      </c>
      <c r="C8" s="11">
        <v>2013</v>
      </c>
      <c r="D8" s="14">
        <f>1314905+217511+166840</f>
        <v>1699256</v>
      </c>
      <c r="E8" s="14">
        <f>D8+3005692</f>
        <v>4704948</v>
      </c>
      <c r="F8" s="14">
        <v>4870257</v>
      </c>
      <c r="G8" s="14">
        <v>4246870</v>
      </c>
      <c r="H8" s="14">
        <v>29980566</v>
      </c>
      <c r="I8" s="14">
        <v>-22743802</v>
      </c>
      <c r="J8" s="14">
        <f>136659+647169+349380+442782+686250+638501+2112+3263+114820+261494</f>
        <v>3282430</v>
      </c>
      <c r="K8" s="15">
        <v>-10457941</v>
      </c>
      <c r="L8" s="14">
        <v>23731465</v>
      </c>
      <c r="M8" s="15">
        <v>34227436</v>
      </c>
      <c r="N8" s="16">
        <f>(7743804+558287+3953768+2327754+693444+79000+296396+123745+312100)*1000</f>
        <v>16088298000</v>
      </c>
      <c r="O8" s="16">
        <f>(16108982+4123944+7165223+826516)*1000</f>
        <v>28224665000</v>
      </c>
      <c r="P8" s="16">
        <f>28119233*1000</f>
        <v>28119233000</v>
      </c>
      <c r="Q8" s="16">
        <f t="shared" si="0"/>
        <v>29980566000</v>
      </c>
      <c r="R8" s="16">
        <f>105432*1000</f>
        <v>105432000</v>
      </c>
      <c r="S8" s="5">
        <v>3590347</v>
      </c>
      <c r="T8" s="18">
        <v>76404252536.928833</v>
      </c>
      <c r="U8" s="18">
        <v>22580814019</v>
      </c>
      <c r="V8" s="18">
        <v>19678384000</v>
      </c>
      <c r="W8" s="18">
        <v>218131742000</v>
      </c>
      <c r="X8" s="19">
        <f t="shared" si="1"/>
        <v>0.40011961750654013</v>
      </c>
      <c r="Y8" s="20">
        <f t="shared" si="2"/>
        <v>1.1078624963796866</v>
      </c>
      <c r="Z8" s="20">
        <f t="shared" si="3"/>
        <v>1.1467873987195276</v>
      </c>
      <c r="AA8" s="20">
        <f t="shared" si="4"/>
        <v>1.0037494621563825</v>
      </c>
      <c r="AB8" s="20">
        <f t="shared" si="5"/>
        <v>29.365406742022429</v>
      </c>
      <c r="AC8" s="20">
        <f t="shared" si="6"/>
        <v>-0.82006618639009432</v>
      </c>
      <c r="AD8" s="20">
        <f t="shared" si="7"/>
        <v>1.263325546905764</v>
      </c>
      <c r="AE8" s="20">
        <f t="shared" si="8"/>
        <v>8350.3254699336867</v>
      </c>
      <c r="AF8" s="20">
        <f t="shared" si="9"/>
        <v>7.3754960431205829E-2</v>
      </c>
      <c r="AG8" s="20">
        <f t="shared" si="10"/>
        <v>0.12939274560050046</v>
      </c>
      <c r="AH8" s="20">
        <f t="shared" si="11"/>
        <v>0.12890940466610312</v>
      </c>
      <c r="AI8" s="21">
        <f t="shared" si="12"/>
        <v>9.0213298713765377E-2</v>
      </c>
      <c r="AJ8" s="21">
        <f t="shared" si="29"/>
        <v>0.35026654917984762</v>
      </c>
      <c r="AK8" s="21">
        <f t="shared" si="30"/>
        <v>0.10351915687263892</v>
      </c>
      <c r="AL8">
        <f t="shared" si="13"/>
        <v>0.79156160694231059</v>
      </c>
      <c r="AM8">
        <f t="shared" si="13"/>
        <v>1.1975581114779487E-4</v>
      </c>
      <c r="AN8">
        <f t="shared" si="13"/>
        <v>13.558410094094478</v>
      </c>
      <c r="AO8">
        <f t="shared" si="13"/>
        <v>7.7284085391270363</v>
      </c>
      <c r="AP8">
        <f t="shared" si="13"/>
        <v>7.7573859144735557</v>
      </c>
      <c r="AQ8">
        <f t="shared" si="13"/>
        <v>11.084840198260181</v>
      </c>
      <c r="AR8">
        <f t="shared" si="13"/>
        <v>2.8549686013166524</v>
      </c>
      <c r="AS8">
        <f t="shared" si="13"/>
        <v>9.6600477651717558</v>
      </c>
      <c r="AT8">
        <f t="shared" si="14"/>
        <v>-0.84640161511770229</v>
      </c>
      <c r="AU8">
        <f t="shared" si="15"/>
        <v>-0.84788611559170568</v>
      </c>
      <c r="AV8">
        <f t="shared" si="16"/>
        <v>-0.97573324100468029</v>
      </c>
      <c r="AW8">
        <f t="shared" si="17"/>
        <v>-0.55745980164604769</v>
      </c>
      <c r="AX8">
        <f t="shared" si="18"/>
        <v>-0.34238348841865268</v>
      </c>
      <c r="AY8">
        <f t="shared" si="19"/>
        <v>-2.110295301001051</v>
      </c>
      <c r="AZ8">
        <f t="shared" si="31"/>
        <v>-0.76141494939257015</v>
      </c>
      <c r="BA8">
        <f t="shared" si="32"/>
        <v>-0.81880280197219535</v>
      </c>
      <c r="BB8">
        <f t="shared" si="33"/>
        <v>-0.76818192124484419</v>
      </c>
      <c r="BC8">
        <f t="shared" si="34"/>
        <v>2.8844468143587227E-2</v>
      </c>
      <c r="BD8">
        <f t="shared" si="20"/>
        <v>-0.17846310337961524</v>
      </c>
      <c r="BE8">
        <f t="shared" si="21"/>
        <v>-0.23708995936144792</v>
      </c>
      <c r="BF8">
        <f t="shared" si="22"/>
        <v>-0.75812344804327603</v>
      </c>
      <c r="BG8">
        <f t="shared" si="23"/>
        <v>-0.17038876890606866</v>
      </c>
      <c r="BH8">
        <f t="shared" si="24"/>
        <v>2.180911003078859</v>
      </c>
      <c r="BI8">
        <f t="shared" si="25"/>
        <v>2.6247649185202557</v>
      </c>
      <c r="BJ8">
        <f t="shared" si="26"/>
        <v>0.58919844996693549</v>
      </c>
      <c r="BK8">
        <f t="shared" si="27"/>
        <v>-0.21566669805731448</v>
      </c>
      <c r="BL8">
        <f t="shared" si="28"/>
        <v>-5.9749243109768722E-2</v>
      </c>
      <c r="BM8" s="11" t="s">
        <v>44</v>
      </c>
      <c r="BN8" s="23">
        <f>COUNT($AC$2:$AC$51)</f>
        <v>50</v>
      </c>
      <c r="BO8" s="24">
        <f>AVERAGE($AC$2:$AC$51)</f>
        <v>2.6047950041463729E-2</v>
      </c>
      <c r="BP8" s="24">
        <f>MEDIAN($AC$2:$AC$51)</f>
        <v>6.3283187097969817E-2</v>
      </c>
      <c r="BQ8" s="24">
        <f>STDEV($AC$2:$AC$51)</f>
        <v>0.4009458467875045</v>
      </c>
      <c r="BR8" s="24">
        <f>MAX($AC$2:$AC$51)</f>
        <v>0.82103771204730824</v>
      </c>
      <c r="BS8" s="24">
        <f>MIN($AC$2:$AC$51)</f>
        <v>-1.404140554303648</v>
      </c>
    </row>
    <row r="9" spans="1:85" s="11" customFormat="1">
      <c r="A9" s="11" t="s">
        <v>45</v>
      </c>
      <c r="B9" s="11" t="s">
        <v>177</v>
      </c>
      <c r="C9" s="11">
        <v>2013</v>
      </c>
      <c r="D9" s="14">
        <f>143322+1805080</f>
        <v>1948402</v>
      </c>
      <c r="E9" s="14">
        <f>D9+741398</f>
        <v>2689800</v>
      </c>
      <c r="F9" s="15">
        <f>E9+8177+26106+4356+182+237364+2447</f>
        <v>2968432</v>
      </c>
      <c r="G9" s="14">
        <f>6409502-(5211135+346454)</f>
        <v>851913</v>
      </c>
      <c r="H9" s="14">
        <v>5211135</v>
      </c>
      <c r="I9" s="14">
        <v>-539269</v>
      </c>
      <c r="J9" s="14">
        <f>163539+408694</f>
        <v>572233</v>
      </c>
      <c r="K9" s="15">
        <v>4877171</v>
      </c>
      <c r="L9" s="14">
        <v>11286673</v>
      </c>
      <c r="M9" s="15">
        <v>6409502</v>
      </c>
      <c r="N9" s="16">
        <f>(1130501+2051071+504620+217880)*1000</f>
        <v>3904072000</v>
      </c>
      <c r="O9" s="16">
        <f>(3941362+1764732+1624471+211245)*1000</f>
        <v>7541810000</v>
      </c>
      <c r="P9" s="16">
        <f>7472863*1000</f>
        <v>7472863000</v>
      </c>
      <c r="Q9" s="16">
        <f t="shared" si="0"/>
        <v>5211135000</v>
      </c>
      <c r="R9" s="16">
        <f>68947*1000</f>
        <v>68947000</v>
      </c>
      <c r="S9" s="5">
        <v>917092</v>
      </c>
      <c r="T9" s="18">
        <v>7529930463.1784935</v>
      </c>
      <c r="U9" s="18">
        <v>5766000000</v>
      </c>
      <c r="V9" s="18">
        <v>3033403000</v>
      </c>
      <c r="W9" s="18">
        <v>41487286000</v>
      </c>
      <c r="X9" s="19">
        <f t="shared" si="1"/>
        <v>2.2870903484275975</v>
      </c>
      <c r="Y9" s="20">
        <f t="shared" si="2"/>
        <v>3.1573646604758938</v>
      </c>
      <c r="Z9" s="20">
        <f t="shared" si="3"/>
        <v>3.4844309219368643</v>
      </c>
      <c r="AA9" s="20">
        <f t="shared" si="4"/>
        <v>1.0092263166071691</v>
      </c>
      <c r="AB9" s="20">
        <f t="shared" si="5"/>
        <v>75.180025559049696</v>
      </c>
      <c r="AC9" s="20">
        <f t="shared" si="6"/>
        <v>2.9206126552970926E-3</v>
      </c>
      <c r="AD9" s="20">
        <f t="shared" si="7"/>
        <v>0.4617069175300817</v>
      </c>
      <c r="AE9" s="20">
        <f t="shared" si="8"/>
        <v>5682.237987028564</v>
      </c>
      <c r="AF9" s="20">
        <f t="shared" si="9"/>
        <v>9.4102853582661447E-2</v>
      </c>
      <c r="AG9" s="20">
        <f t="shared" si="10"/>
        <v>0.18178605368401299</v>
      </c>
      <c r="AH9" s="20">
        <f t="shared" si="11"/>
        <v>0.18012417105327161</v>
      </c>
      <c r="AI9" s="21">
        <f t="shared" si="12"/>
        <v>7.3116448253568569E-2</v>
      </c>
      <c r="AJ9" s="21">
        <f t="shared" si="29"/>
        <v>0.18149971206066584</v>
      </c>
      <c r="AK9" s="21">
        <f t="shared" si="30"/>
        <v>0.13898233786611155</v>
      </c>
      <c r="AL9">
        <f t="shared" si="13"/>
        <v>2.1658761479025204</v>
      </c>
      <c r="AM9">
        <f t="shared" si="13"/>
        <v>1.7598699707453366E-4</v>
      </c>
      <c r="AN9">
        <f t="shared" si="13"/>
        <v>10.626670307309906</v>
      </c>
      <c r="AO9">
        <f t="shared" si="13"/>
        <v>5.5009720478240629</v>
      </c>
      <c r="AP9">
        <f t="shared" si="13"/>
        <v>5.5517257575844754</v>
      </c>
      <c r="AQ9">
        <f t="shared" si="13"/>
        <v>13.676813136929054</v>
      </c>
      <c r="AR9">
        <f t="shared" si="13"/>
        <v>5.5096506140227506</v>
      </c>
      <c r="AS9">
        <f t="shared" si="13"/>
        <v>7.1951588622962195</v>
      </c>
      <c r="AT9">
        <f t="shared" si="14"/>
        <v>2.7722309781128399E-2</v>
      </c>
      <c r="AU9">
        <f t="shared" si="15"/>
        <v>5.9752505507674643E-2</v>
      </c>
      <c r="AV9">
        <f t="shared" si="16"/>
        <v>5.1682809842806376E-2</v>
      </c>
      <c r="AW9">
        <f t="shared" si="17"/>
        <v>-0.50762350782853993</v>
      </c>
      <c r="AX9">
        <f t="shared" si="18"/>
        <v>-0.30699419067639383</v>
      </c>
      <c r="AY9">
        <f t="shared" si="19"/>
        <v>-5.7681947752968719E-2</v>
      </c>
      <c r="AZ9">
        <f t="shared" si="31"/>
        <v>-0.51703421446720377</v>
      </c>
      <c r="BA9">
        <f t="shared" si="32"/>
        <v>-0.73177394415221486</v>
      </c>
      <c r="BB9">
        <f t="shared" si="33"/>
        <v>-1.2859794148146642</v>
      </c>
      <c r="BC9">
        <f t="shared" si="34"/>
        <v>-1.1857115414487178</v>
      </c>
      <c r="BD9">
        <f t="shared" si="20"/>
        <v>-1.3618797945184291</v>
      </c>
      <c r="BE9">
        <f t="shared" si="21"/>
        <v>-0.2312444578287107</v>
      </c>
      <c r="BF9">
        <f t="shared" si="22"/>
        <v>1.0148795376571622</v>
      </c>
      <c r="BG9">
        <f t="shared" si="23"/>
        <v>-0.17088511874773218</v>
      </c>
      <c r="BH9">
        <f t="shared" si="24"/>
        <v>0.14490636740233692</v>
      </c>
      <c r="BI9">
        <f t="shared" si="25"/>
        <v>1.3703344247457694</v>
      </c>
      <c r="BJ9">
        <f t="shared" si="26"/>
        <v>1.5654455640736078</v>
      </c>
      <c r="BK9">
        <f t="shared" si="27"/>
        <v>0.75292201256444014</v>
      </c>
      <c r="BL9">
        <f t="shared" si="28"/>
        <v>1.3722068250179311</v>
      </c>
      <c r="BM9" s="25" t="s">
        <v>46</v>
      </c>
      <c r="BN9" s="26">
        <f>COUNT($AD$2:$AD$51)</f>
        <v>50</v>
      </c>
      <c r="BO9" s="27">
        <f>AVERAGE($AD$2:$AD$51)</f>
        <v>0.40465417728115149</v>
      </c>
      <c r="BP9" s="27">
        <f>MEDIAN($AD$2:$AD$51)</f>
        <v>0.27672344725389664</v>
      </c>
      <c r="BQ9" s="27">
        <f>STDEV($AD$2:$AD$51)</f>
        <v>0.39372141660636306</v>
      </c>
      <c r="BR9" s="27">
        <f>MAX($AD$2:$AD$51)</f>
        <v>2.0388898255648775</v>
      </c>
      <c r="BS9" s="27">
        <f>MIN($AD$2:$AD$51)</f>
        <v>3.3556319478624162E-2</v>
      </c>
    </row>
    <row r="10" spans="1:85" s="11" customFormat="1">
      <c r="A10" s="11" t="s">
        <v>47</v>
      </c>
      <c r="B10" s="11" t="s">
        <v>178</v>
      </c>
      <c r="C10" s="11">
        <v>2013</v>
      </c>
      <c r="D10" s="14">
        <f>285901+14997369+24695700</f>
        <v>39978970</v>
      </c>
      <c r="E10" s="14">
        <f>D10+6146695</f>
        <v>46125665</v>
      </c>
      <c r="F10" s="14">
        <f>E10+3069+62239</f>
        <v>46190973</v>
      </c>
      <c r="G10" s="14">
        <f>53814929-(5785286+42114407)</f>
        <v>5915236</v>
      </c>
      <c r="H10" s="14">
        <v>42114407</v>
      </c>
      <c r="I10" s="14">
        <v>-9885043</v>
      </c>
      <c r="J10" s="14">
        <f>2533998+390829+1562739+1834635+1137373+280048+102088+829845+8295259+1158339+561190</f>
        <v>18686343</v>
      </c>
      <c r="K10" s="15">
        <v>74636749</v>
      </c>
      <c r="L10" s="14">
        <v>128591937</v>
      </c>
      <c r="M10" s="15">
        <v>53814929</v>
      </c>
      <c r="N10" s="17">
        <f>(19914591+2580843+2055440+1662044+279047+1422775+1700095+907004+588765+1142373)*1000</f>
        <v>32252977000</v>
      </c>
      <c r="O10" s="17">
        <f>(32780911+18341324+27295366+2028843)*1000</f>
        <v>80446444000</v>
      </c>
      <c r="P10" s="16">
        <f>72052729*1000</f>
        <v>72052729000</v>
      </c>
      <c r="Q10" s="16">
        <f t="shared" si="0"/>
        <v>42114407000</v>
      </c>
      <c r="R10" s="16">
        <f>8393715*1000</f>
        <v>8393715000</v>
      </c>
      <c r="S10" s="5">
        <v>19317568</v>
      </c>
      <c r="T10" s="18">
        <v>155124597428.6228</v>
      </c>
      <c r="U10" s="18">
        <v>4878629000</v>
      </c>
      <c r="V10" s="18">
        <v>27849000000</v>
      </c>
      <c r="W10" s="18">
        <v>811376557000</v>
      </c>
      <c r="X10" s="19">
        <f t="shared" si="1"/>
        <v>6.7586432730663661</v>
      </c>
      <c r="Y10" s="20">
        <f t="shared" si="2"/>
        <v>7.7977725656254462</v>
      </c>
      <c r="Z10" s="20">
        <f t="shared" si="3"/>
        <v>7.8088132071146443</v>
      </c>
      <c r="AA10" s="20">
        <f t="shared" si="4"/>
        <v>1.116494060898096</v>
      </c>
      <c r="AB10" s="20">
        <f t="shared" si="5"/>
        <v>434.51199447052551</v>
      </c>
      <c r="AC10" s="20">
        <f t="shared" si="6"/>
        <v>6.8443638110840491E-2</v>
      </c>
      <c r="AD10" s="20">
        <f t="shared" si="7"/>
        <v>0.3275042586845861</v>
      </c>
      <c r="AE10" s="20">
        <f t="shared" si="8"/>
        <v>2180.1091628097283</v>
      </c>
      <c r="AF10" s="20">
        <f t="shared" si="9"/>
        <v>3.9750935273817629E-2</v>
      </c>
      <c r="AG10" s="20">
        <f t="shared" si="10"/>
        <v>9.9148099986329771E-2</v>
      </c>
      <c r="AH10" s="20">
        <f t="shared" si="11"/>
        <v>8.8803069768751033E-2</v>
      </c>
      <c r="AI10" s="21">
        <f t="shared" si="12"/>
        <v>3.4323150896754341E-2</v>
      </c>
      <c r="AJ10" s="21">
        <f t="shared" si="29"/>
        <v>0.19118693544977883</v>
      </c>
      <c r="AK10" s="21">
        <f t="shared" si="30"/>
        <v>6.0127803273468255E-3</v>
      </c>
      <c r="AL10">
        <f t="shared" si="13"/>
        <v>3.0533954093191911</v>
      </c>
      <c r="AM10">
        <f t="shared" si="13"/>
        <v>4.5869262744219577E-4</v>
      </c>
      <c r="AN10">
        <f t="shared" si="13"/>
        <v>25.156640796289906</v>
      </c>
      <c r="AO10">
        <f t="shared" si="13"/>
        <v>10.085921970646709</v>
      </c>
      <c r="AP10">
        <f t="shared" si="13"/>
        <v>11.260871978908668</v>
      </c>
      <c r="AQ10">
        <f t="shared" si="13"/>
        <v>29.134854285611691</v>
      </c>
      <c r="AR10">
        <f t="shared" si="13"/>
        <v>5.2304829179223962</v>
      </c>
      <c r="AS10">
        <f t="shared" si="13"/>
        <v>166.3124121551362</v>
      </c>
      <c r="AT10">
        <f t="shared" si="14"/>
        <v>2.0991330258181482</v>
      </c>
      <c r="AU10">
        <f t="shared" si="15"/>
        <v>2.1147947036338404</v>
      </c>
      <c r="AV10">
        <f t="shared" si="16"/>
        <v>1.9522890082067448</v>
      </c>
      <c r="AW10">
        <f t="shared" si="17"/>
        <v>0.46845260842759806</v>
      </c>
      <c r="AX10">
        <f t="shared" si="18"/>
        <v>-2.942981571330542E-2</v>
      </c>
      <c r="AY10">
        <f t="shared" si="19"/>
        <v>0.10573918749642483</v>
      </c>
      <c r="AZ10">
        <f t="shared" si="31"/>
        <v>-0.35921545980723696</v>
      </c>
      <c r="BA10">
        <f t="shared" si="32"/>
        <v>-0.29423118732275444</v>
      </c>
      <c r="BB10">
        <f t="shared" si="33"/>
        <v>1.2802723155576599</v>
      </c>
      <c r="BC10">
        <f t="shared" si="34"/>
        <v>1.3143276310201391</v>
      </c>
      <c r="BD10">
        <f t="shared" si="20"/>
        <v>1.7012842697027768</v>
      </c>
      <c r="BE10">
        <f t="shared" si="21"/>
        <v>-0.19638298150706957</v>
      </c>
      <c r="BF10">
        <f t="shared" si="22"/>
        <v>0.82842965163390592</v>
      </c>
      <c r="BG10">
        <f t="shared" si="23"/>
        <v>-0.13884398967870998</v>
      </c>
      <c r="BH10">
        <f t="shared" si="24"/>
        <v>-0.19595052578432318</v>
      </c>
      <c r="BI10">
        <f t="shared" si="25"/>
        <v>-0.27622972218513436</v>
      </c>
      <c r="BJ10">
        <f t="shared" si="26"/>
        <v>-1.0422398115189304</v>
      </c>
      <c r="BK10">
        <f t="shared" si="27"/>
        <v>-0.77479578095368762</v>
      </c>
      <c r="BL10">
        <f t="shared" si="28"/>
        <v>-1.181115475505859</v>
      </c>
      <c r="BM10" s="10" t="s">
        <v>48</v>
      </c>
      <c r="BN10" s="28">
        <f>COUNT($AE$2:$AE$51)</f>
        <v>50</v>
      </c>
      <c r="BO10" s="29">
        <f>AVERAGE($AE$2:$AE$51)</f>
        <v>2767.6308053607827</v>
      </c>
      <c r="BP10" s="29">
        <f>MEDIAN($AE$2:$AE$51)</f>
        <v>1928.5541463263453</v>
      </c>
      <c r="BQ10" s="29">
        <f>STDEV($AE$2:$AE$51)</f>
        <v>2126.9313016116575</v>
      </c>
      <c r="BR10" s="29">
        <f>MAX($AE$2:$AE$51)</f>
        <v>8662.1711693377802</v>
      </c>
      <c r="BS10" s="29">
        <f>MIN($AE$2:$AE$51)</f>
        <v>254.92407809110628</v>
      </c>
    </row>
    <row r="11" spans="1:85" s="11" customFormat="1">
      <c r="A11" s="11" t="s">
        <v>49</v>
      </c>
      <c r="B11" s="11" t="s">
        <v>179</v>
      </c>
      <c r="C11" s="11">
        <v>2013</v>
      </c>
      <c r="D11" s="14">
        <f>4116062+3816862</f>
        <v>7932924</v>
      </c>
      <c r="E11" s="14">
        <f>D11+4652540</f>
        <v>12585464</v>
      </c>
      <c r="F11" s="14">
        <f>E11+200636+76522+103473+79593</f>
        <v>13045688</v>
      </c>
      <c r="G11" s="14">
        <f>22696179-(15679490+1243916)</f>
        <v>5772773</v>
      </c>
      <c r="H11" s="14">
        <f>15679490+1243916</f>
        <v>16923406</v>
      </c>
      <c r="I11" s="14">
        <v>-2844502</v>
      </c>
      <c r="J11" s="14">
        <f>K11-(20239305+I11)</f>
        <v>4117744</v>
      </c>
      <c r="K11" s="15">
        <v>21512547</v>
      </c>
      <c r="L11" s="14">
        <v>44279000</v>
      </c>
      <c r="M11" s="15">
        <v>22696179</v>
      </c>
      <c r="N11" s="16">
        <f>(8854916+5082342+2708094)*1000</f>
        <v>16645352000</v>
      </c>
      <c r="O11" s="17">
        <f>(16912600+6284416+22568420+1401361)*1000</f>
        <v>47166797000</v>
      </c>
      <c r="P11" s="16">
        <f>45679485*1000</f>
        <v>45679485000</v>
      </c>
      <c r="Q11" s="16">
        <f t="shared" si="0"/>
        <v>16923406000</v>
      </c>
      <c r="R11" s="16">
        <f>1487312*1000</f>
        <v>1487312000</v>
      </c>
      <c r="S11" s="5">
        <v>9919945</v>
      </c>
      <c r="T11" s="18">
        <v>86294275738.353745</v>
      </c>
      <c r="U11" s="18">
        <v>18496661000</v>
      </c>
      <c r="V11" s="18">
        <v>14815392000</v>
      </c>
      <c r="W11" s="18">
        <v>378156381000</v>
      </c>
      <c r="X11" s="19">
        <f t="shared" si="1"/>
        <v>1.3741964217196831</v>
      </c>
      <c r="Y11" s="20">
        <f t="shared" si="2"/>
        <v>2.1801418486401598</v>
      </c>
      <c r="Z11" s="20">
        <f t="shared" si="3"/>
        <v>2.2598650596515748</v>
      </c>
      <c r="AA11" s="20">
        <f t="shared" si="4"/>
        <v>1.0325597366082389</v>
      </c>
      <c r="AB11" s="20">
        <f t="shared" si="5"/>
        <v>149.93147643459716</v>
      </c>
      <c r="AC11" s="20">
        <f t="shared" si="6"/>
        <v>2.8754985433275367E-2</v>
      </c>
      <c r="AD11" s="20">
        <f t="shared" si="7"/>
        <v>0.38219937216287631</v>
      </c>
      <c r="AE11" s="20">
        <f t="shared" si="8"/>
        <v>1705.9979667225978</v>
      </c>
      <c r="AF11" s="20">
        <f t="shared" si="9"/>
        <v>4.401711259236956E-2</v>
      </c>
      <c r="AG11" s="20">
        <f t="shared" si="10"/>
        <v>0.12472828535980728</v>
      </c>
      <c r="AH11" s="20">
        <f t="shared" si="11"/>
        <v>0.12079522466130223</v>
      </c>
      <c r="AI11" s="21">
        <f t="shared" si="12"/>
        <v>3.9177950563261815E-2</v>
      </c>
      <c r="AJ11" s="21">
        <f t="shared" si="29"/>
        <v>0.22819732807405343</v>
      </c>
      <c r="AK11" s="21">
        <f t="shared" si="30"/>
        <v>4.8912730101465615E-2</v>
      </c>
      <c r="AL11">
        <f t="shared" si="13"/>
        <v>2.6164354858590522</v>
      </c>
      <c r="AM11">
        <f t="shared" si="13"/>
        <v>5.8616716989476E-4</v>
      </c>
      <c r="AN11">
        <f t="shared" si="13"/>
        <v>22.718437014729396</v>
      </c>
      <c r="AO11">
        <f t="shared" si="13"/>
        <v>8.0174276196876377</v>
      </c>
      <c r="AP11">
        <f t="shared" si="13"/>
        <v>8.2784729512602873</v>
      </c>
      <c r="AQ11">
        <f t="shared" si="13"/>
        <v>25.524561280592508</v>
      </c>
      <c r="AR11">
        <f t="shared" si="13"/>
        <v>4.3821722560900671</v>
      </c>
      <c r="AS11">
        <f t="shared" si="13"/>
        <v>20.444575429046356</v>
      </c>
      <c r="AT11">
        <f t="shared" si="14"/>
        <v>-0.39516841616072074</v>
      </c>
      <c r="AU11">
        <f t="shared" si="15"/>
        <v>-0.37301852590647372</v>
      </c>
      <c r="AV11">
        <f t="shared" si="16"/>
        <v>-0.48652526582657663</v>
      </c>
      <c r="AW11">
        <f t="shared" si="17"/>
        <v>-0.29530251493204002</v>
      </c>
      <c r="AX11">
        <f t="shared" si="18"/>
        <v>-0.2492527662139162</v>
      </c>
      <c r="AY11">
        <f t="shared" si="19"/>
        <v>6.7516234760908456E-3</v>
      </c>
      <c r="AZ11">
        <f t="shared" si="31"/>
        <v>-0.43691571258453205</v>
      </c>
      <c r="BA11">
        <f t="shared" si="32"/>
        <v>-9.6939174929042138E-2</v>
      </c>
      <c r="BB11">
        <f t="shared" si="33"/>
        <v>0.84964207593153329</v>
      </c>
      <c r="BC11">
        <f t="shared" si="34"/>
        <v>0.1864381245967868</v>
      </c>
      <c r="BD11">
        <f t="shared" si="20"/>
        <v>0.1011189958587555</v>
      </c>
      <c r="BE11">
        <f t="shared" si="21"/>
        <v>-0.20452503151832788</v>
      </c>
      <c r="BF11">
        <f t="shared" si="22"/>
        <v>0.26186185593130634</v>
      </c>
      <c r="BG11">
        <f t="shared" si="23"/>
        <v>-0.16821710973224735</v>
      </c>
      <c r="BH11">
        <f t="shared" si="24"/>
        <v>-5.7032216616057688E-2</v>
      </c>
      <c r="BI11">
        <f t="shared" si="25"/>
        <v>-0.49913828332572141</v>
      </c>
      <c r="BJ11">
        <f t="shared" si="26"/>
        <v>-0.8375580164798343</v>
      </c>
      <c r="BK11">
        <f t="shared" si="27"/>
        <v>-0.30189800689313095</v>
      </c>
      <c r="BL11">
        <f t="shared" si="28"/>
        <v>-0.28662032181230068</v>
      </c>
      <c r="BM11" s="30" t="s">
        <v>50</v>
      </c>
      <c r="BN11" s="28">
        <f>COUNT($AF$2:$AF$51)</f>
        <v>50</v>
      </c>
      <c r="BO11" s="29">
        <f>AVERAGE($AF$2:$AF$51)</f>
        <v>6.1474312497202852E-2</v>
      </c>
      <c r="BP11" s="29">
        <f>MEDIAN($AF$2:$AF$51)</f>
        <v>5.8067853977027947E-2</v>
      </c>
      <c r="BQ11" s="29">
        <f>STDEV($AF$2:$AF$51)</f>
        <v>2.0842973932962892E-2</v>
      </c>
      <c r="BR11" s="29">
        <f>MAX($AF$2:$AF$51)</f>
        <v>0.13307427372046737</v>
      </c>
      <c r="BS11" s="29">
        <f>MIN($AF$2:$AF$51)</f>
        <v>2.6717693925638608E-2</v>
      </c>
    </row>
    <row r="12" spans="1:85" s="11" customFormat="1">
      <c r="A12" s="11" t="s">
        <v>51</v>
      </c>
      <c r="B12" s="11" t="s">
        <v>180</v>
      </c>
      <c r="C12" s="11">
        <v>2013</v>
      </c>
      <c r="D12" s="14">
        <f>1319112+2324388</f>
        <v>3643500</v>
      </c>
      <c r="E12" s="14">
        <f>D12+951913</f>
        <v>4595413</v>
      </c>
      <c r="F12" s="14">
        <f>E12+305442+228</f>
        <v>4901083</v>
      </c>
      <c r="G12" s="14">
        <f>346212+466257+524420+37145+6671+496302+35771+70988</f>
        <v>1983766</v>
      </c>
      <c r="H12" s="14">
        <f>12978829-G12</f>
        <v>10995063</v>
      </c>
      <c r="I12" s="14">
        <v>-1769651</v>
      </c>
      <c r="J12" s="14">
        <f>4812905-(K12+I12)</f>
        <v>1769651</v>
      </c>
      <c r="K12" s="15">
        <v>4812905</v>
      </c>
      <c r="L12" s="14">
        <v>17791734</v>
      </c>
      <c r="M12" s="15">
        <v>12978829</v>
      </c>
      <c r="N12" s="16">
        <f>(5855684-(19000+40135))*1000</f>
        <v>5796549000</v>
      </c>
      <c r="O12" s="16">
        <f>(5855684+1648694+2589537+160497)*1000</f>
        <v>10254412000</v>
      </c>
      <c r="P12" s="16">
        <f>9947300*1000</f>
        <v>9947300000</v>
      </c>
      <c r="Q12" s="16">
        <f t="shared" si="0"/>
        <v>10995063000</v>
      </c>
      <c r="R12" s="16">
        <f>307112*1000</f>
        <v>307112000</v>
      </c>
      <c r="S12" s="5">
        <v>1392313</v>
      </c>
      <c r="T12" s="18">
        <v>26782584349.943375</v>
      </c>
      <c r="U12" s="18">
        <v>13671926000</v>
      </c>
      <c r="V12" s="18">
        <v>7457930000</v>
      </c>
      <c r="W12" s="18">
        <v>63468314000</v>
      </c>
      <c r="X12" s="19">
        <f t="shared" si="1"/>
        <v>1.8366581542379494</v>
      </c>
      <c r="Y12" s="20">
        <f t="shared" si="2"/>
        <v>2.3165096084921308</v>
      </c>
      <c r="Z12" s="20">
        <f t="shared" si="3"/>
        <v>2.4705953222305452</v>
      </c>
      <c r="AA12" s="20">
        <f t="shared" si="4"/>
        <v>1.0308739054818896</v>
      </c>
      <c r="AB12" s="20">
        <f t="shared" si="5"/>
        <v>220.57683868497961</v>
      </c>
      <c r="AC12" s="20">
        <f t="shared" si="6"/>
        <v>0</v>
      </c>
      <c r="AD12" s="20">
        <f t="shared" si="7"/>
        <v>0.61798715066221199</v>
      </c>
      <c r="AE12" s="20">
        <f t="shared" si="8"/>
        <v>7896.9764700896994</v>
      </c>
      <c r="AF12" s="20">
        <f t="shared" si="9"/>
        <v>9.1329809076069038E-2</v>
      </c>
      <c r="AG12" s="20">
        <f t="shared" si="10"/>
        <v>0.16156742402200885</v>
      </c>
      <c r="AH12" s="20">
        <f t="shared" si="11"/>
        <v>0.15672860003812297</v>
      </c>
      <c r="AI12" s="21">
        <f t="shared" si="12"/>
        <v>0.11750635127947467</v>
      </c>
      <c r="AJ12" s="21">
        <f t="shared" si="29"/>
        <v>0.42198354835679697</v>
      </c>
      <c r="AK12" s="21">
        <f t="shared" si="30"/>
        <v>0.21541341085569091</v>
      </c>
      <c r="AL12">
        <f t="shared" si="13"/>
        <v>1.6181566217492342</v>
      </c>
      <c r="AM12">
        <f t="shared" si="13"/>
        <v>1.2663074327086621E-4</v>
      </c>
      <c r="AN12">
        <f t="shared" si="13"/>
        <v>10.949327608547776</v>
      </c>
      <c r="AO12">
        <f t="shared" si="13"/>
        <v>6.1893664892731044</v>
      </c>
      <c r="AP12">
        <f t="shared" si="13"/>
        <v>6.3804564052556971</v>
      </c>
      <c r="AQ12">
        <f t="shared" si="13"/>
        <v>8.5101782934406724</v>
      </c>
      <c r="AR12">
        <f t="shared" si="13"/>
        <v>2.3697606314132336</v>
      </c>
      <c r="AS12">
        <f t="shared" si="13"/>
        <v>4.6422365071314751</v>
      </c>
      <c r="AT12">
        <f t="shared" si="14"/>
        <v>-0.18093676003584777</v>
      </c>
      <c r="AU12">
        <f t="shared" si="15"/>
        <v>-0.31262695975800087</v>
      </c>
      <c r="AV12">
        <f t="shared" si="16"/>
        <v>-0.3939073572264849</v>
      </c>
      <c r="AW12">
        <f t="shared" si="17"/>
        <v>-0.31064262960815198</v>
      </c>
      <c r="AX12">
        <f t="shared" si="18"/>
        <v>-0.19468307157620054</v>
      </c>
      <c r="AY12">
        <f t="shared" si="19"/>
        <v>-6.4966254795173789E-2</v>
      </c>
      <c r="AZ12">
        <f t="shared" si="31"/>
        <v>-0.61442974972858089</v>
      </c>
      <c r="BA12">
        <f t="shared" si="32"/>
        <v>-0.80816248769818544</v>
      </c>
      <c r="BB12">
        <f t="shared" si="33"/>
        <v>-1.2289923852644704</v>
      </c>
      <c r="BC12">
        <f t="shared" si="34"/>
        <v>-0.8103501746504278</v>
      </c>
      <c r="BD12">
        <f t="shared" si="20"/>
        <v>-0.91723573734161756</v>
      </c>
      <c r="BE12">
        <f t="shared" si="21"/>
        <v>-0.2428964204885582</v>
      </c>
      <c r="BF12">
        <f t="shared" si="22"/>
        <v>-1.0821830435831099</v>
      </c>
      <c r="BG12">
        <f t="shared" si="23"/>
        <v>-0.17139919571294027</v>
      </c>
      <c r="BH12">
        <f t="shared" si="24"/>
        <v>0.54183736109622838</v>
      </c>
      <c r="BI12">
        <f t="shared" si="25"/>
        <v>2.4116179308857859</v>
      </c>
      <c r="BJ12">
        <f t="shared" si="26"/>
        <v>1.4324009939699685</v>
      </c>
      <c r="BK12">
        <f t="shared" si="27"/>
        <v>0.37914266647611738</v>
      </c>
      <c r="BL12">
        <f t="shared" si="28"/>
        <v>0.71807067941504543</v>
      </c>
      <c r="BM12" s="30" t="s">
        <v>52</v>
      </c>
      <c r="BN12" s="28">
        <f>COUNT($AG$2:$AG$51)</f>
        <v>50</v>
      </c>
      <c r="BO12" s="29">
        <f>AVERAGE($AG$2:$AG$51)</f>
        <v>0.14105867937688879</v>
      </c>
      <c r="BP12" s="29">
        <f>MEDIAN($AG$2:$AG$51)</f>
        <v>0.12952947770200313</v>
      </c>
      <c r="BQ12" s="29">
        <f>STDEV($AG$2:$AG$51)</f>
        <v>5.4092420765342514E-2</v>
      </c>
      <c r="BR12" s="29">
        <f>MAX($AG$2:$AG$51)</f>
        <v>0.44447240409785382</v>
      </c>
      <c r="BS12" s="29">
        <f>MIN($AG$2:$AG$51)</f>
        <v>8.3333280046849229E-2</v>
      </c>
    </row>
    <row r="13" spans="1:85" s="11" customFormat="1">
      <c r="A13" s="11" t="s">
        <v>53</v>
      </c>
      <c r="B13" s="11" t="s">
        <v>54</v>
      </c>
      <c r="C13" s="11">
        <v>2013</v>
      </c>
      <c r="D13" s="14">
        <f>457850+1314027+1930677</f>
        <v>3702554</v>
      </c>
      <c r="E13" s="14">
        <f>D13+244204+489942</f>
        <v>4436700</v>
      </c>
      <c r="F13" s="14">
        <f>L13-(2641177+4719012+314181+268615)</f>
        <v>5445398</v>
      </c>
      <c r="G13" s="14">
        <f>M13-H13</f>
        <v>1392109</v>
      </c>
      <c r="H13" s="14">
        <f>267753+1375105</f>
        <v>1642858</v>
      </c>
      <c r="I13" s="14">
        <v>979821</v>
      </c>
      <c r="J13" s="14">
        <f>K13-(6116149+I13)</f>
        <v>3257446</v>
      </c>
      <c r="K13" s="15">
        <v>10353416</v>
      </c>
      <c r="L13" s="14">
        <v>13388383</v>
      </c>
      <c r="M13" s="15">
        <v>3034967</v>
      </c>
      <c r="N13" s="16">
        <f>(1315002+1533850+458154+44054)*1000</f>
        <v>3351060000</v>
      </c>
      <c r="O13" s="16">
        <f>8386794*1000</f>
        <v>8386794000</v>
      </c>
      <c r="P13" s="16">
        <f>7712149*1000</f>
        <v>7712149000</v>
      </c>
      <c r="Q13" s="16">
        <f t="shared" si="0"/>
        <v>1642858000</v>
      </c>
      <c r="R13" s="16">
        <f>593655*1000</f>
        <v>593655000</v>
      </c>
      <c r="S13" s="5">
        <v>1595728</v>
      </c>
      <c r="T13" s="18">
        <v>13783546348.442913</v>
      </c>
      <c r="U13" s="18">
        <v>112013000</v>
      </c>
      <c r="V13" s="18">
        <v>1393119000</v>
      </c>
      <c r="W13" s="18">
        <v>58272226000</v>
      </c>
      <c r="X13" s="19">
        <f t="shared" si="1"/>
        <v>2.6596724825426743</v>
      </c>
      <c r="Y13" s="20">
        <f t="shared" si="2"/>
        <v>3.1870349232710944</v>
      </c>
      <c r="Z13" s="20">
        <f t="shared" si="3"/>
        <v>3.9116175529358692</v>
      </c>
      <c r="AA13" s="20">
        <f t="shared" si="4"/>
        <v>1.0874782113260519</v>
      </c>
      <c r="AB13" s="20">
        <f t="shared" si="5"/>
        <v>372.02768892944158</v>
      </c>
      <c r="AC13" s="20">
        <f t="shared" si="6"/>
        <v>0.31648833171264967</v>
      </c>
      <c r="AD13" s="20">
        <f t="shared" si="7"/>
        <v>0.12270772355406923</v>
      </c>
      <c r="AE13" s="20">
        <f t="shared" si="8"/>
        <v>1029.5351087403367</v>
      </c>
      <c r="AF13" s="20">
        <f t="shared" si="9"/>
        <v>5.750698454526175E-2</v>
      </c>
      <c r="AG13" s="20">
        <f t="shared" si="10"/>
        <v>0.1439243800296903</v>
      </c>
      <c r="AH13" s="20">
        <f t="shared" si="11"/>
        <v>0.13234690914330269</v>
      </c>
      <c r="AI13" s="21">
        <f t="shared" si="12"/>
        <v>2.3907083968269894E-2</v>
      </c>
      <c r="AJ13" s="21">
        <f t="shared" si="29"/>
        <v>0.23653715148007068</v>
      </c>
      <c r="AK13" s="21">
        <f t="shared" si="30"/>
        <v>1.9222365042310208E-3</v>
      </c>
      <c r="AL13">
        <f t="shared" si="13"/>
        <v>8.1494462698541206</v>
      </c>
      <c r="AM13">
        <f t="shared" si="13"/>
        <v>9.7131218888059714E-4</v>
      </c>
      <c r="AN13">
        <f t="shared" si="13"/>
        <v>17.389192076536975</v>
      </c>
      <c r="AO13">
        <f t="shared" si="13"/>
        <v>6.9480931569321962</v>
      </c>
      <c r="AP13">
        <f t="shared" si="13"/>
        <v>7.5558999184274054</v>
      </c>
      <c r="AQ13">
        <f t="shared" si="13"/>
        <v>41.828606170757844</v>
      </c>
      <c r="AR13">
        <f t="shared" si="13"/>
        <v>4.2276656911726382</v>
      </c>
      <c r="AS13">
        <f t="shared" si="13"/>
        <v>520.22734861132187</v>
      </c>
      <c r="AT13">
        <f t="shared" si="14"/>
        <v>0.20031796910059382</v>
      </c>
      <c r="AU13">
        <f t="shared" si="15"/>
        <v>7.289222152401155E-2</v>
      </c>
      <c r="AV13">
        <f t="shared" si="16"/>
        <v>0.2394353037695866</v>
      </c>
      <c r="AW13">
        <f t="shared" si="17"/>
        <v>0.2044247037916968</v>
      </c>
      <c r="AX13">
        <f t="shared" si="18"/>
        <v>-7.7695538535162895E-2</v>
      </c>
      <c r="AY13">
        <f t="shared" si="19"/>
        <v>0.72438805389375982</v>
      </c>
      <c r="AZ13">
        <f t="shared" si="31"/>
        <v>0.54696476123913895</v>
      </c>
      <c r="BA13">
        <f t="shared" si="32"/>
        <v>0.49914875288137717</v>
      </c>
      <c r="BB13">
        <f t="shared" si="33"/>
        <v>-9.1597553879601487E-2</v>
      </c>
      <c r="BC13">
        <f t="shared" si="34"/>
        <v>-0.39663870074697277</v>
      </c>
      <c r="BD13">
        <f t="shared" si="20"/>
        <v>-0.28656764976995669</v>
      </c>
      <c r="BE13">
        <f t="shared" si="21"/>
        <v>-0.16775562008912415</v>
      </c>
      <c r="BF13">
        <f t="shared" si="22"/>
        <v>0.15867036271375384</v>
      </c>
      <c r="BG13">
        <f t="shared" si="23"/>
        <v>-6.7576833391279817E-2</v>
      </c>
      <c r="BH13">
        <f t="shared" si="24"/>
        <v>-0.71610646979096959</v>
      </c>
      <c r="BI13">
        <f t="shared" si="25"/>
        <v>-0.81718469012300687</v>
      </c>
      <c r="BJ13">
        <f t="shared" si="26"/>
        <v>-0.19034366039612152</v>
      </c>
      <c r="BK13">
        <f t="shared" si="27"/>
        <v>5.2977859231576219E-2</v>
      </c>
      <c r="BL13">
        <f t="shared" si="28"/>
        <v>3.6362791418134879E-2</v>
      </c>
      <c r="BM13" s="31" t="s">
        <v>55</v>
      </c>
      <c r="BN13" s="32">
        <f>COUNT($AH$2:$AH$51)</f>
        <v>50</v>
      </c>
      <c r="BO13" s="33">
        <f>AVERAGE($AH$2:$AH$51)</f>
        <v>0.13104637213025025</v>
      </c>
      <c r="BP13" s="33">
        <f>MEDIAN($AH$2:$AH$51)</f>
        <v>0.12648976510555779</v>
      </c>
      <c r="BQ13" s="33">
        <f>STDEV($AH$2:$AH$51)</f>
        <v>3.5765598908444461E-2</v>
      </c>
      <c r="BR13" s="33">
        <f>MAX($AH$2:$AH$51)</f>
        <v>0.28488658370181258</v>
      </c>
      <c r="BS13" s="33">
        <f>MIN($AH$2:$AH$51)</f>
        <v>7.7394565337673124E-2</v>
      </c>
    </row>
    <row r="14" spans="1:85" s="11" customFormat="1">
      <c r="A14" s="11" t="s">
        <v>56</v>
      </c>
      <c r="B14" s="11" t="s">
        <v>57</v>
      </c>
      <c r="C14" s="11">
        <v>2013</v>
      </c>
      <c r="D14" s="14">
        <f>9035631+487959+1462711</f>
        <v>10986301</v>
      </c>
      <c r="E14" s="14">
        <f>D14+2628819+3374591+958850</f>
        <v>17948561</v>
      </c>
      <c r="F14" s="14">
        <f>L14-(17579813+3497863+16605+23869+847918+510+269352+2688+59457+188432+285663)</f>
        <v>28408440</v>
      </c>
      <c r="G14" s="14">
        <f>M14-(70769994+2743190)</f>
        <v>22590250</v>
      </c>
      <c r="H14" s="14">
        <f>70769994+2743190</f>
        <v>73513184</v>
      </c>
      <c r="I14" s="14">
        <v>-67700450</v>
      </c>
      <c r="J14" s="14">
        <f>K14-(14852464+I14)</f>
        <v>8048711</v>
      </c>
      <c r="K14" s="15">
        <v>-44799275</v>
      </c>
      <c r="L14" s="14">
        <v>51180610</v>
      </c>
      <c r="M14" s="15">
        <v>96103434</v>
      </c>
      <c r="N14" s="16">
        <f>(39370881-(64598+1134424+54313))*1000</f>
        <v>38117546000</v>
      </c>
      <c r="O14" s="17">
        <f>(39370881+9507878+20375180+1344794)*1000</f>
        <v>70598733000</v>
      </c>
      <c r="P14" s="16">
        <f>70647633*1000</f>
        <v>70647633000</v>
      </c>
      <c r="Q14" s="16">
        <f t="shared" si="0"/>
        <v>73513184000</v>
      </c>
      <c r="R14" s="16">
        <f>-48900*1000</f>
        <v>-48900000</v>
      </c>
      <c r="S14" s="5">
        <v>12875255</v>
      </c>
      <c r="T14" s="18">
        <v>275354639261.35565</v>
      </c>
      <c r="U14" s="18">
        <v>34488085000</v>
      </c>
      <c r="V14" s="18">
        <v>33664223000</v>
      </c>
      <c r="W14" s="18">
        <v>605201478000</v>
      </c>
      <c r="X14" s="19">
        <f t="shared" si="1"/>
        <v>0.48632932349132924</v>
      </c>
      <c r="Y14" s="20">
        <f t="shared" si="2"/>
        <v>0.79452688659930726</v>
      </c>
      <c r="Z14" s="20">
        <f t="shared" si="3"/>
        <v>1.2575531479288631</v>
      </c>
      <c r="AA14" s="20">
        <f t="shared" si="4"/>
        <v>0.99930783243650922</v>
      </c>
      <c r="AB14" s="20">
        <f t="shared" si="5"/>
        <v>-3.797983030239013</v>
      </c>
      <c r="AC14" s="20">
        <f t="shared" si="6"/>
        <v>-1.1655144204025705</v>
      </c>
      <c r="AD14" s="20">
        <f t="shared" si="7"/>
        <v>1.4363483358248368</v>
      </c>
      <c r="AE14" s="20">
        <f t="shared" si="8"/>
        <v>5709.64877977174</v>
      </c>
      <c r="AF14" s="20">
        <f t="shared" si="9"/>
        <v>6.2983233494350449E-2</v>
      </c>
      <c r="AG14" s="20">
        <f t="shared" si="10"/>
        <v>0.11665327261477705</v>
      </c>
      <c r="AH14" s="20">
        <f t="shared" si="11"/>
        <v>0.1167340721530756</v>
      </c>
      <c r="AI14" s="21">
        <f t="shared" si="12"/>
        <v>5.5624819541501516E-2</v>
      </c>
      <c r="AJ14" s="21">
        <f t="shared" si="29"/>
        <v>0.45498011698734758</v>
      </c>
      <c r="AK14" s="21">
        <f t="shared" si="30"/>
        <v>5.6986121570575546E-2</v>
      </c>
      <c r="AL14">
        <f t="shared" si="13"/>
        <v>0.6962099478645899</v>
      </c>
      <c r="AM14">
        <f t="shared" si="13"/>
        <v>1.7514212144586203E-4</v>
      </c>
      <c r="AN14">
        <f t="shared" si="13"/>
        <v>15.877241362809665</v>
      </c>
      <c r="AO14">
        <f t="shared" si="13"/>
        <v>8.5724127372087544</v>
      </c>
      <c r="AP14">
        <f t="shared" si="13"/>
        <v>8.5664791911712044</v>
      </c>
      <c r="AQ14">
        <f t="shared" si="13"/>
        <v>17.977586412732592</v>
      </c>
      <c r="AR14">
        <f t="shared" si="13"/>
        <v>2.1978982436012884</v>
      </c>
      <c r="AS14">
        <f t="shared" si="13"/>
        <v>17.548132289745862</v>
      </c>
      <c r="AT14">
        <f t="shared" si="14"/>
        <v>-0.80646566628450833</v>
      </c>
      <c r="AU14">
        <f t="shared" si="15"/>
        <v>-0.98664932637748703</v>
      </c>
      <c r="AV14">
        <f t="shared" si="16"/>
        <v>-0.92705066494398558</v>
      </c>
      <c r="AW14">
        <f t="shared" si="17"/>
        <v>-0.59787613290648278</v>
      </c>
      <c r="AX14">
        <f t="shared" si="18"/>
        <v>-0.36800040077320789</v>
      </c>
      <c r="AY14">
        <f t="shared" si="19"/>
        <v>-2.9718785716105569</v>
      </c>
      <c r="AZ14">
        <f t="shared" si="31"/>
        <v>-0.77837038996113572</v>
      </c>
      <c r="BA14">
        <f t="shared" si="32"/>
        <v>-0.73308155592940605</v>
      </c>
      <c r="BB14">
        <f t="shared" si="33"/>
        <v>-0.35863499475280447</v>
      </c>
      <c r="BC14">
        <f t="shared" si="34"/>
        <v>0.48905528668038983</v>
      </c>
      <c r="BD14">
        <f t="shared" si="20"/>
        <v>0.2556447918650751</v>
      </c>
      <c r="BE14">
        <f t="shared" si="21"/>
        <v>-0.22154521429086119</v>
      </c>
      <c r="BF14">
        <f t="shared" si="22"/>
        <v>-1.1969661043270108</v>
      </c>
      <c r="BG14">
        <f t="shared" si="23"/>
        <v>-0.16880036080368593</v>
      </c>
      <c r="BH14">
        <f t="shared" si="24"/>
        <v>2.6203658602985218</v>
      </c>
      <c r="BI14">
        <f t="shared" si="25"/>
        <v>1.3832219085692505</v>
      </c>
      <c r="BJ14">
        <f t="shared" si="26"/>
        <v>7.2394707300442313E-2</v>
      </c>
      <c r="BK14">
        <f t="shared" si="27"/>
        <v>-0.45117978483500404</v>
      </c>
      <c r="BL14">
        <f t="shared" si="28"/>
        <v>-0.4001694481284202</v>
      </c>
      <c r="BM14" s="25" t="s">
        <v>58</v>
      </c>
      <c r="BN14" s="34">
        <f>COUNT($AL$2:$AL$51)</f>
        <v>50</v>
      </c>
      <c r="BO14" s="35">
        <f>AVERAGE($AL$2:$AL$51)</f>
        <v>5.0735015764504157</v>
      </c>
      <c r="BP14" s="35">
        <f>MEDIAN($AL$2:$AL$51)</f>
        <v>3.6168719271542482</v>
      </c>
      <c r="BQ14" s="35">
        <f>STDEV($AL$2:$AL$51)</f>
        <v>5.6236615434515507</v>
      </c>
      <c r="BR14" s="35">
        <f>MAX($AL$2:$AL$51)</f>
        <v>29.800646064208973</v>
      </c>
      <c r="BS14" s="35">
        <f>MIN($AL$2:$AL$51)</f>
        <v>0.49046298993764831</v>
      </c>
    </row>
    <row r="15" spans="1:85" s="11" customFormat="1">
      <c r="A15" s="11" t="s">
        <v>59</v>
      </c>
      <c r="B15" s="11" t="s">
        <v>60</v>
      </c>
      <c r="C15" s="11">
        <v>2013</v>
      </c>
      <c r="D15" s="14">
        <v>6553014</v>
      </c>
      <c r="E15" s="14">
        <f>D15+3089409</f>
        <v>9642423</v>
      </c>
      <c r="F15" s="14">
        <f>L15-(14526829)</f>
        <v>11095535</v>
      </c>
      <c r="G15" s="14">
        <f>M15-(2547017+153176)</f>
        <v>4263920</v>
      </c>
      <c r="H15" s="14">
        <f>2547017+153176</f>
        <v>2700193</v>
      </c>
      <c r="I15" s="14">
        <v>4385165</v>
      </c>
      <c r="J15" s="14">
        <f>K15-(13373862+I15)</f>
        <v>899224</v>
      </c>
      <c r="K15" s="15">
        <v>18658251</v>
      </c>
      <c r="L15" s="14">
        <v>25622364</v>
      </c>
      <c r="M15" s="15">
        <v>6964113</v>
      </c>
      <c r="N15" s="16">
        <f>15035736*1000</f>
        <v>15035736000</v>
      </c>
      <c r="O15" s="16">
        <f>(15122650+3156395+12278187+87)*1000</f>
        <v>30557319000</v>
      </c>
      <c r="P15" s="16">
        <f>29566438*1000</f>
        <v>29566438000</v>
      </c>
      <c r="Q15" s="16">
        <f t="shared" si="0"/>
        <v>2700193000</v>
      </c>
      <c r="R15" s="16">
        <f>990881*1000</f>
        <v>990881000</v>
      </c>
      <c r="S15" s="5">
        <v>6537334</v>
      </c>
      <c r="T15" s="18">
        <v>41233240212.931084</v>
      </c>
      <c r="U15" s="18">
        <v>315401000</v>
      </c>
      <c r="V15" s="18">
        <v>1156910000</v>
      </c>
      <c r="W15" s="18">
        <v>253779172000</v>
      </c>
      <c r="X15" s="19">
        <f t="shared" si="1"/>
        <v>1.5368520047280436</v>
      </c>
      <c r="Y15" s="20">
        <f t="shared" si="2"/>
        <v>2.2613986660162482</v>
      </c>
      <c r="Z15" s="20">
        <f t="shared" si="3"/>
        <v>2.6021911761946752</v>
      </c>
      <c r="AA15" s="20">
        <f t="shared" si="4"/>
        <v>1.0335137090237247</v>
      </c>
      <c r="AB15" s="20">
        <f t="shared" si="5"/>
        <v>151.57264413903283</v>
      </c>
      <c r="AC15" s="20">
        <f t="shared" si="6"/>
        <v>0.20624127422434557</v>
      </c>
      <c r="AD15" s="20">
        <f t="shared" si="7"/>
        <v>0.1053842260612643</v>
      </c>
      <c r="AE15" s="20">
        <f t="shared" si="8"/>
        <v>413.04192198226372</v>
      </c>
      <c r="AF15" s="20">
        <f t="shared" si="9"/>
        <v>5.9247320737574161E-2</v>
      </c>
      <c r="AG15" s="20">
        <f t="shared" si="10"/>
        <v>0.12040908936372446</v>
      </c>
      <c r="AH15" s="20">
        <f t="shared" si="11"/>
        <v>0.11650458848529933</v>
      </c>
      <c r="AI15" s="21">
        <f t="shared" si="12"/>
        <v>4.5587271440857254E-3</v>
      </c>
      <c r="AJ15" s="21">
        <f t="shared" si="29"/>
        <v>0.16247684901789766</v>
      </c>
      <c r="AK15" s="21">
        <f t="shared" si="30"/>
        <v>1.2428167272923406E-3</v>
      </c>
      <c r="AL15">
        <f t="shared" si="13"/>
        <v>9.4890861505085002</v>
      </c>
      <c r="AM15">
        <f t="shared" si="13"/>
        <v>2.4210617537338999E-3</v>
      </c>
      <c r="AN15">
        <f t="shared" si="13"/>
        <v>16.878400365635578</v>
      </c>
      <c r="AO15">
        <f t="shared" si="13"/>
        <v>8.305020869141039</v>
      </c>
      <c r="AP15">
        <f t="shared" si="13"/>
        <v>8.5833529219853943</v>
      </c>
      <c r="AQ15">
        <f t="shared" si="13"/>
        <v>219.35947653663638</v>
      </c>
      <c r="AR15">
        <f t="shared" si="13"/>
        <v>6.1547230023512141</v>
      </c>
      <c r="AS15">
        <f t="shared" si="13"/>
        <v>804.62386612597936</v>
      </c>
      <c r="AT15">
        <f t="shared" si="14"/>
        <v>-0.31981953326809898</v>
      </c>
      <c r="AU15">
        <f t="shared" si="15"/>
        <v>-0.33703328667610666</v>
      </c>
      <c r="AV15">
        <f t="shared" si="16"/>
        <v>-0.33606975656372606</v>
      </c>
      <c r="AW15">
        <f t="shared" si="17"/>
        <v>-0.28662190272677601</v>
      </c>
      <c r="AX15">
        <f t="shared" si="18"/>
        <v>-0.24798505354846304</v>
      </c>
      <c r="AY15">
        <f t="shared" si="19"/>
        <v>0.44942060287353891</v>
      </c>
      <c r="AZ15">
        <f t="shared" si="31"/>
        <v>0.78517964495921588</v>
      </c>
      <c r="BA15">
        <f t="shared" si="32"/>
        <v>2.7429223222060286</v>
      </c>
      <c r="BB15">
        <f t="shared" si="33"/>
        <v>-0.1818124729638983</v>
      </c>
      <c r="BC15">
        <f t="shared" si="34"/>
        <v>0.34325431702500731</v>
      </c>
      <c r="BD15">
        <f t="shared" si="20"/>
        <v>0.26469816059231371</v>
      </c>
      <c r="BE15">
        <f t="shared" si="21"/>
        <v>0.23261776319352118</v>
      </c>
      <c r="BF15">
        <f t="shared" si="22"/>
        <v>1.445709017431055</v>
      </c>
      <c r="BG15">
        <f t="shared" si="23"/>
        <v>-1.0308464714143928E-2</v>
      </c>
      <c r="BH15">
        <f t="shared" si="24"/>
        <v>-0.76010584793535108</v>
      </c>
      <c r="BI15">
        <f t="shared" si="25"/>
        <v>-1.1070357004922333</v>
      </c>
      <c r="BJ15">
        <f t="shared" si="26"/>
        <v>-0.10684616153104391</v>
      </c>
      <c r="BK15">
        <f t="shared" si="27"/>
        <v>-0.38174645765520443</v>
      </c>
      <c r="BL15">
        <f t="shared" si="28"/>
        <v>-0.40658577204805363</v>
      </c>
      <c r="BM15" s="11" t="s">
        <v>61</v>
      </c>
      <c r="BN15" s="23">
        <f>COUNT($AM$2:$AM$51)</f>
        <v>50</v>
      </c>
      <c r="BO15" s="24">
        <f>AVERAGE($AM$2:$AM$51)</f>
        <v>6.488016213349368E-4</v>
      </c>
      <c r="BP15" s="24">
        <f>MEDIAN($AM$2:$AM$51)</f>
        <v>5.1855475075135568E-4</v>
      </c>
      <c r="BQ15" s="24">
        <f>STDEV($AM$2:$AM$51)</f>
        <v>6.4612115263023618E-4</v>
      </c>
      <c r="BR15" s="24">
        <f>MAX($AM$2:$AM$51)</f>
        <v>3.9227365554799186E-3</v>
      </c>
      <c r="BS15" s="24">
        <f>MIN($AM$2:$AM$51)</f>
        <v>1.1544449774206547E-4</v>
      </c>
    </row>
    <row r="16" spans="1:85">
      <c r="A16" t="s">
        <v>62</v>
      </c>
      <c r="B16" s="11" t="s">
        <v>63</v>
      </c>
      <c r="C16" s="11">
        <v>2013</v>
      </c>
      <c r="D16" s="14">
        <f>6197838+228472</f>
        <v>6426310</v>
      </c>
      <c r="E16" s="14">
        <f>D16+2292101</f>
        <v>8718411</v>
      </c>
      <c r="F16" s="14">
        <v>8926802</v>
      </c>
      <c r="G16" s="14">
        <v>2763488</v>
      </c>
      <c r="H16" s="14">
        <v>4161427</v>
      </c>
      <c r="I16" s="14">
        <v>2305319</v>
      </c>
      <c r="J16" s="14">
        <f>K16-(I16+10279677)</f>
        <v>2601337</v>
      </c>
      <c r="K16" s="15">
        <v>15186333</v>
      </c>
      <c r="L16" s="14">
        <v>22111248</v>
      </c>
      <c r="M16" s="15">
        <v>6924915</v>
      </c>
      <c r="N16" s="16">
        <f>(8099659-(-2580+5728+949+80696+116227))*1000</f>
        <v>7898639000</v>
      </c>
      <c r="O16" s="17">
        <f>(8099659+5480865+5483954+488298)*1000</f>
        <v>19552776000</v>
      </c>
      <c r="P16" s="16">
        <f>18411337*1000</f>
        <v>18411337000</v>
      </c>
      <c r="Q16" s="16">
        <f t="shared" si="0"/>
        <v>4161427000</v>
      </c>
      <c r="R16" s="16">
        <f>1141439*1000</f>
        <v>1141439000</v>
      </c>
      <c r="S16" s="5">
        <v>3074186</v>
      </c>
      <c r="T16" s="18">
        <v>33685813698.73391</v>
      </c>
      <c r="U16" s="18">
        <v>293200000</v>
      </c>
      <c r="V16" s="18">
        <v>3701234000</v>
      </c>
      <c r="W16" s="18">
        <v>138337469000</v>
      </c>
      <c r="X16" s="19">
        <f t="shared" si="1"/>
        <v>2.325434378582429</v>
      </c>
      <c r="Y16" s="20">
        <f t="shared" si="2"/>
        <v>3.1548575568267347</v>
      </c>
      <c r="Z16" s="20">
        <f t="shared" si="3"/>
        <v>3.2302662432404268</v>
      </c>
      <c r="AA16" s="20">
        <f t="shared" si="4"/>
        <v>1.0619965296382332</v>
      </c>
      <c r="AB16" s="20">
        <f t="shared" si="5"/>
        <v>371.29796310307836</v>
      </c>
      <c r="AC16" s="20">
        <f t="shared" si="6"/>
        <v>0.22190769150615108</v>
      </c>
      <c r="AD16" s="20">
        <f t="shared" si="7"/>
        <v>0.1882040760431071</v>
      </c>
      <c r="AE16" s="20">
        <f t="shared" si="8"/>
        <v>1353.667930307405</v>
      </c>
      <c r="AF16" s="20">
        <f t="shared" si="9"/>
        <v>5.7096888190140298E-2</v>
      </c>
      <c r="AG16" s="20">
        <f t="shared" si="10"/>
        <v>0.14134114308539214</v>
      </c>
      <c r="AH16" s="20">
        <f t="shared" si="11"/>
        <v>0.13309002349898422</v>
      </c>
      <c r="AI16" s="21">
        <f t="shared" si="12"/>
        <v>2.6755108552694425E-2</v>
      </c>
      <c r="AJ16" s="21">
        <f t="shared" si="29"/>
        <v>0.24350462634771719</v>
      </c>
      <c r="AK16" s="21">
        <f t="shared" si="30"/>
        <v>2.1194547082540593E-3</v>
      </c>
      <c r="AL16">
        <f t="shared" si="13"/>
        <v>5.3133812031305609</v>
      </c>
      <c r="AM16">
        <f t="shared" si="13"/>
        <v>7.3873361229212964E-4</v>
      </c>
      <c r="AN16">
        <f t="shared" si="13"/>
        <v>17.514089326021864</v>
      </c>
      <c r="AO16">
        <f t="shared" si="13"/>
        <v>7.0750807455677904</v>
      </c>
      <c r="AP16">
        <f t="shared" si="13"/>
        <v>7.5137111987032768</v>
      </c>
      <c r="AQ16">
        <f t="shared" si="13"/>
        <v>37.376039720806631</v>
      </c>
      <c r="AR16">
        <f t="shared" si="13"/>
        <v>4.1066981560014817</v>
      </c>
      <c r="AS16">
        <f t="shared" si="13"/>
        <v>471.81947135061392</v>
      </c>
      <c r="AT16">
        <f t="shared" si="14"/>
        <v>4.5484871534812864E-2</v>
      </c>
      <c r="AU16">
        <f t="shared" si="15"/>
        <v>5.8642214365298886E-2</v>
      </c>
      <c r="AV16">
        <f t="shared" si="16"/>
        <v>-6.0024928252270161E-2</v>
      </c>
      <c r="AW16">
        <f t="shared" si="17"/>
        <v>-2.744426168281093E-2</v>
      </c>
      <c r="AX16">
        <f t="shared" si="18"/>
        <v>-7.8259211991500516E-2</v>
      </c>
      <c r="AY16">
        <f t="shared" si="19"/>
        <v>0.48849425186461698</v>
      </c>
      <c r="AZ16">
        <f t="shared" si="31"/>
        <v>4.2655416729243265E-2</v>
      </c>
      <c r="BA16">
        <f t="shared" si="32"/>
        <v>0.13918750468251476</v>
      </c>
      <c r="BB16">
        <f t="shared" si="33"/>
        <v>-6.9538473797337713E-2</v>
      </c>
      <c r="BC16">
        <f t="shared" si="34"/>
        <v>-0.3273960805765655</v>
      </c>
      <c r="BD16">
        <f t="shared" si="20"/>
        <v>-0.30920342842487386</v>
      </c>
      <c r="BE16">
        <f t="shared" si="21"/>
        <v>-0.17779719252204113</v>
      </c>
      <c r="BF16">
        <f t="shared" si="22"/>
        <v>7.7878840412876238E-2</v>
      </c>
      <c r="BG16">
        <f t="shared" si="23"/>
        <v>-7.7324632647298802E-2</v>
      </c>
      <c r="BH16">
        <f t="shared" si="24"/>
        <v>-0.54975445101186371</v>
      </c>
      <c r="BI16">
        <f t="shared" si="25"/>
        <v>-0.6647901011104419</v>
      </c>
      <c r="BJ16">
        <f t="shared" si="26"/>
        <v>-0.21001918061892857</v>
      </c>
      <c r="BK16">
        <f t="shared" si="27"/>
        <v>5.2218722051412952E-3</v>
      </c>
      <c r="BL16">
        <f t="shared" si="28"/>
        <v>5.7140141116201179E-2</v>
      </c>
      <c r="BM16" s="11" t="s">
        <v>64</v>
      </c>
      <c r="BN16" s="23">
        <f>COUNT($AN$2:$AN$51)</f>
        <v>50</v>
      </c>
      <c r="BO16" s="24">
        <f>AVERAGE($AN$2:$AN$51)</f>
        <v>17.907812186552555</v>
      </c>
      <c r="BP16" s="24">
        <f>MEDIAN($AN$2:$AN$51)</f>
        <v>17.221239499289382</v>
      </c>
      <c r="BQ16" s="24">
        <f>STDEV($AN$2:$AN$51)</f>
        <v>5.6619427926783796</v>
      </c>
      <c r="BR16" s="24">
        <f>MAX($AN$2:$AN$51)</f>
        <v>37.428379963601138</v>
      </c>
      <c r="BS16" s="24">
        <f>MIN($AN$2:$AN$51)</f>
        <v>7.5146004711667711</v>
      </c>
      <c r="BT16" s="11"/>
    </row>
    <row r="17" spans="1:72">
      <c r="A17" t="s">
        <v>65</v>
      </c>
      <c r="B17" s="11" t="s">
        <v>66</v>
      </c>
      <c r="C17" s="11">
        <v>2013</v>
      </c>
      <c r="D17" s="14">
        <f>2182229+182483</f>
        <v>2364712</v>
      </c>
      <c r="E17" s="14">
        <f>D17+1707317</f>
        <v>4072029</v>
      </c>
      <c r="F17" s="14">
        <f>E17+33963+5506</f>
        <v>4111498</v>
      </c>
      <c r="G17" s="14">
        <f>M17-(3653500+452132)</f>
        <v>1822571</v>
      </c>
      <c r="H17" s="14">
        <f>3653500+452132</f>
        <v>4105632</v>
      </c>
      <c r="I17" s="14">
        <v>728092</v>
      </c>
      <c r="J17" s="14">
        <f>K17-(I17+9367578)</f>
        <v>1659223</v>
      </c>
      <c r="K17" s="15">
        <v>11754893</v>
      </c>
      <c r="L17" s="14">
        <v>17656979</v>
      </c>
      <c r="M17" s="15">
        <v>5928203</v>
      </c>
      <c r="N17" s="16">
        <f>(8454937-(678674+64969))*1000</f>
        <v>7711294000</v>
      </c>
      <c r="O17" s="16">
        <f>(8454937+1947994+3555687+259603)*1000</f>
        <v>14218221000</v>
      </c>
      <c r="P17" s="16">
        <f>13662449*1000</f>
        <v>13662449000</v>
      </c>
      <c r="Q17" s="16">
        <f t="shared" si="0"/>
        <v>4105632000</v>
      </c>
      <c r="R17" s="16">
        <f>555772*1000</f>
        <v>555772000</v>
      </c>
      <c r="S17" s="5">
        <v>2885905</v>
      </c>
      <c r="T17" s="18">
        <v>32058909470.30983</v>
      </c>
      <c r="U17" s="18">
        <v>528200000</v>
      </c>
      <c r="V17" s="18">
        <v>4105632000</v>
      </c>
      <c r="W17" s="18">
        <v>128540565000</v>
      </c>
      <c r="X17" s="19">
        <f t="shared" si="1"/>
        <v>1.2974594679713438</v>
      </c>
      <c r="Y17" s="20">
        <f t="shared" si="2"/>
        <v>2.2342224253540741</v>
      </c>
      <c r="Z17" s="20">
        <f t="shared" si="3"/>
        <v>2.2558780974787815</v>
      </c>
      <c r="AA17" s="20">
        <f t="shared" si="4"/>
        <v>1.040678797776299</v>
      </c>
      <c r="AB17" s="20">
        <f t="shared" si="5"/>
        <v>192.58152988403984</v>
      </c>
      <c r="AC17" s="20">
        <f t="shared" si="6"/>
        <v>0.13520517864352674</v>
      </c>
      <c r="AD17" s="20">
        <f t="shared" si="7"/>
        <v>0.23252176943745587</v>
      </c>
      <c r="AE17" s="20">
        <f t="shared" si="8"/>
        <v>1422.6497407225809</v>
      </c>
      <c r="AF17" s="20">
        <f t="shared" si="9"/>
        <v>5.9991131982343474E-2</v>
      </c>
      <c r="AG17" s="20">
        <f t="shared" si="10"/>
        <v>0.11061271591578892</v>
      </c>
      <c r="AH17" s="20">
        <f t="shared" si="11"/>
        <v>0.10628900689832817</v>
      </c>
      <c r="AI17" s="21">
        <f t="shared" si="12"/>
        <v>3.1940360616899421E-2</v>
      </c>
      <c r="AJ17" s="21">
        <f t="shared" si="29"/>
        <v>0.24940694379482328</v>
      </c>
      <c r="AK17" s="21">
        <f t="shared" si="30"/>
        <v>4.1092086377557159E-3</v>
      </c>
      <c r="AL17">
        <f t="shared" si="13"/>
        <v>4.300672588288478</v>
      </c>
      <c r="AM17">
        <f t="shared" si="13"/>
        <v>7.0291370488148965E-4</v>
      </c>
      <c r="AN17">
        <f t="shared" si="13"/>
        <v>16.669130369040527</v>
      </c>
      <c r="AO17">
        <f t="shared" si="13"/>
        <v>9.0405519087092543</v>
      </c>
      <c r="AP17">
        <f t="shared" si="13"/>
        <v>9.4083106915897723</v>
      </c>
      <c r="AQ17">
        <f t="shared" si="13"/>
        <v>31.308350334369958</v>
      </c>
      <c r="AR17">
        <f t="shared" si="13"/>
        <v>4.0095114626105133</v>
      </c>
      <c r="AS17">
        <f t="shared" si="13"/>
        <v>243.35585952290796</v>
      </c>
      <c r="AT17">
        <f t="shared" si="14"/>
        <v>-0.43071618915799287</v>
      </c>
      <c r="AU17">
        <f t="shared" si="15"/>
        <v>-0.34906850480536294</v>
      </c>
      <c r="AV17">
        <f t="shared" si="16"/>
        <v>-0.48827757275009415</v>
      </c>
      <c r="AW17">
        <f t="shared" si="17"/>
        <v>-0.22142362668887133</v>
      </c>
      <c r="AX17">
        <f t="shared" si="18"/>
        <v>-0.21630792286001668</v>
      </c>
      <c r="AY17">
        <f t="shared" si="19"/>
        <v>0.27224930617604015</v>
      </c>
      <c r="AZ17">
        <f t="shared" si="31"/>
        <v>-0.13742451998411162</v>
      </c>
      <c r="BA17">
        <f t="shared" si="32"/>
        <v>8.3749128667700887E-2</v>
      </c>
      <c r="BB17">
        <f t="shared" si="33"/>
        <v>-0.21877328381236957</v>
      </c>
      <c r="BC17">
        <f t="shared" si="34"/>
        <v>0.74431789295065631</v>
      </c>
      <c r="BD17">
        <f t="shared" si="20"/>
        <v>0.70731793181374403</v>
      </c>
      <c r="BE17">
        <f t="shared" si="21"/>
        <v>-0.19148124264441785</v>
      </c>
      <c r="BF17">
        <f t="shared" si="22"/>
        <v>1.2970012640735499E-2</v>
      </c>
      <c r="BG17">
        <f t="shared" si="23"/>
        <v>-0.12332990186014986</v>
      </c>
      <c r="BH17">
        <f t="shared" si="24"/>
        <v>-0.43719340778404009</v>
      </c>
      <c r="BI17">
        <f t="shared" si="25"/>
        <v>-0.63235754893402429</v>
      </c>
      <c r="BJ17">
        <f t="shared" si="26"/>
        <v>-7.1159735632243315E-2</v>
      </c>
      <c r="BK17">
        <f t="shared" si="27"/>
        <v>-0.56285082143350607</v>
      </c>
      <c r="BL17">
        <f t="shared" si="28"/>
        <v>-0.69221167791144489</v>
      </c>
      <c r="BM17" s="11" t="s">
        <v>67</v>
      </c>
      <c r="BN17" s="23">
        <f>COUNT($AO$2:$AO$51)</f>
        <v>50</v>
      </c>
      <c r="BO17" s="24">
        <f>AVERAGE($AO$2:$AO$51)</f>
        <v>7.6755091912107396</v>
      </c>
      <c r="BP17" s="24">
        <f>MEDIAN($AO$2:$AO$51)</f>
        <v>7.7202589869620777</v>
      </c>
      <c r="BQ17" s="24">
        <f>STDEV($AO$2:$AO$51)</f>
        <v>1.8339512329700349</v>
      </c>
      <c r="BR17" s="24">
        <f>MAX($AO$2:$AO$51)</f>
        <v>12.000007673258617</v>
      </c>
      <c r="BS17" s="24">
        <f>MIN($AO$2:$AO$51)</f>
        <v>2.2498584631585872</v>
      </c>
      <c r="BT17" s="11"/>
    </row>
    <row r="18" spans="1:72">
      <c r="A18" t="s">
        <v>68</v>
      </c>
      <c r="B18" s="11" t="s">
        <v>69</v>
      </c>
      <c r="C18" s="11">
        <v>2013</v>
      </c>
      <c r="D18" s="14">
        <f>941962+38605+2047885</f>
        <v>3028452</v>
      </c>
      <c r="E18" s="14">
        <f>D18+2500412</f>
        <v>5528864</v>
      </c>
      <c r="F18" s="14">
        <v>6937405</v>
      </c>
      <c r="G18" s="14">
        <f>M18-H18</f>
        <v>2951948</v>
      </c>
      <c r="H18" s="14">
        <f>1002478+15805885</f>
        <v>16808363</v>
      </c>
      <c r="I18" s="14">
        <v>-11192140</v>
      </c>
      <c r="J18" s="14">
        <f>K18-(I18+20524358)</f>
        <v>1168348</v>
      </c>
      <c r="K18" s="15">
        <v>10500566</v>
      </c>
      <c r="L18" s="14">
        <v>30271305</v>
      </c>
      <c r="M18" s="15">
        <v>19760311</v>
      </c>
      <c r="N18" s="16">
        <f>(5292465+3748008+423093+556986+21091+461866+20503+203467)*1000</f>
        <v>10727479000</v>
      </c>
      <c r="O18" s="16">
        <f>(11784318+3867090+6702417+806830)*1000</f>
        <v>23160655000</v>
      </c>
      <c r="P18" s="16">
        <f>23268775*1000</f>
        <v>23268775000</v>
      </c>
      <c r="Q18" s="16">
        <f t="shared" si="0"/>
        <v>16808363000</v>
      </c>
      <c r="R18" s="16">
        <f>-108120*1000</f>
        <v>-108120000</v>
      </c>
      <c r="S18" s="5">
        <v>4380415</v>
      </c>
      <c r="T18" s="18">
        <v>74518980703.750885</v>
      </c>
      <c r="U18" s="18">
        <v>4844904882</v>
      </c>
      <c r="V18" s="18">
        <v>8148292000</v>
      </c>
      <c r="W18" s="18">
        <v>159171693000</v>
      </c>
      <c r="X18" s="19">
        <f t="shared" si="1"/>
        <v>1.0259164456826475</v>
      </c>
      <c r="Y18" s="20">
        <f t="shared" si="2"/>
        <v>1.8729544016358011</v>
      </c>
      <c r="Z18" s="20">
        <f t="shared" si="3"/>
        <v>2.3501108420609036</v>
      </c>
      <c r="AA18" s="20">
        <f t="shared" si="4"/>
        <v>0.99535342964982043</v>
      </c>
      <c r="AB18" s="20">
        <f t="shared" si="5"/>
        <v>-24.682592859352368</v>
      </c>
      <c r="AC18" s="20">
        <f t="shared" si="6"/>
        <v>-0.33113180948095894</v>
      </c>
      <c r="AD18" s="20">
        <f t="shared" si="7"/>
        <v>0.55525729729854723</v>
      </c>
      <c r="AE18" s="20">
        <f t="shared" si="8"/>
        <v>3837.1622323455654</v>
      </c>
      <c r="AF18" s="20">
        <f t="shared" si="9"/>
        <v>6.7395645531017886E-2</v>
      </c>
      <c r="AG18" s="20">
        <f t="shared" si="10"/>
        <v>0.14550737360065649</v>
      </c>
      <c r="AH18" s="20">
        <f t="shared" si="11"/>
        <v>0.1461866401081755</v>
      </c>
      <c r="AI18" s="21">
        <f t="shared" si="12"/>
        <v>5.1191841001527828E-2</v>
      </c>
      <c r="AJ18" s="21">
        <f t="shared" si="29"/>
        <v>0.46816729343797886</v>
      </c>
      <c r="AK18" s="21">
        <f t="shared" si="30"/>
        <v>3.0438231765242327E-2</v>
      </c>
      <c r="AL18">
        <f t="shared" si="13"/>
        <v>1.8009668758343689</v>
      </c>
      <c r="AM18">
        <f t="shared" si="13"/>
        <v>2.60609257427389E-4</v>
      </c>
      <c r="AN18">
        <f t="shared" si="13"/>
        <v>14.83775386556338</v>
      </c>
      <c r="AO18">
        <f t="shared" si="13"/>
        <v>6.8725039512051795</v>
      </c>
      <c r="AP18">
        <f t="shared" si="13"/>
        <v>6.8405703781140179</v>
      </c>
      <c r="AQ18">
        <f t="shared" si="13"/>
        <v>19.534362906974859</v>
      </c>
      <c r="AR18">
        <f t="shared" si="13"/>
        <v>2.1359885964192764</v>
      </c>
      <c r="AS18">
        <f t="shared" si="13"/>
        <v>32.853419597846298</v>
      </c>
      <c r="AT18">
        <f t="shared" si="14"/>
        <v>-0.55650629736281165</v>
      </c>
      <c r="AU18">
        <f t="shared" si="15"/>
        <v>-0.50905897304648806</v>
      </c>
      <c r="AV18">
        <f t="shared" si="16"/>
        <v>-0.44686140585488082</v>
      </c>
      <c r="AW18">
        <f t="shared" si="17"/>
        <v>-0.63385897322495977</v>
      </c>
      <c r="AX18">
        <f t="shared" si="18"/>
        <v>-0.38413262438561324</v>
      </c>
      <c r="AY18">
        <f t="shared" si="19"/>
        <v>-0.89084289657631188</v>
      </c>
      <c r="AZ18">
        <f t="shared" si="31"/>
        <v>-0.5819224139523006</v>
      </c>
      <c r="BA18">
        <f t="shared" si="32"/>
        <v>-0.60080429549054482</v>
      </c>
      <c r="BB18">
        <f t="shared" si="33"/>
        <v>-0.54222701171745402</v>
      </c>
      <c r="BC18">
        <f t="shared" si="34"/>
        <v>-0.43785528511852223</v>
      </c>
      <c r="BD18">
        <f t="shared" si="20"/>
        <v>-0.67036789888244441</v>
      </c>
      <c r="BE18">
        <f t="shared" si="21"/>
        <v>-0.21803432139245926</v>
      </c>
      <c r="BF18">
        <f t="shared" si="22"/>
        <v>-1.2383141786997589</v>
      </c>
      <c r="BG18">
        <f t="shared" si="23"/>
        <v>-0.16571836513113128</v>
      </c>
      <c r="BH18">
        <f t="shared" si="24"/>
        <v>0.38251188191768226</v>
      </c>
      <c r="BI18">
        <f t="shared" si="25"/>
        <v>0.50285189097285732</v>
      </c>
      <c r="BJ18">
        <f t="shared" si="26"/>
        <v>0.28409252215445724</v>
      </c>
      <c r="BK18">
        <f t="shared" si="27"/>
        <v>8.2242468738208493E-2</v>
      </c>
      <c r="BL18">
        <f t="shared" si="28"/>
        <v>0.42331929116250727</v>
      </c>
      <c r="BM18" s="36" t="s">
        <v>70</v>
      </c>
      <c r="BN18" s="23">
        <f>COUNT($AP$2:$AP$51)</f>
        <v>50</v>
      </c>
      <c r="BO18" s="24">
        <f>AVERAGE($AP$2:$AP$51)</f>
        <v>8.090006672273077</v>
      </c>
      <c r="BP18" s="24">
        <f>MEDIAN($AP$2:$AP$51)</f>
        <v>7.9086719534182617</v>
      </c>
      <c r="BQ18" s="24">
        <f>STDEV($AP$2:$AP$51)</f>
        <v>1.8638068682017246</v>
      </c>
      <c r="BR18" s="24">
        <f>MAX($AP$2:$AP$51)</f>
        <v>12.920803878631423</v>
      </c>
      <c r="BS18" s="24">
        <f>MIN($AP$2:$AP$51)</f>
        <v>3.5101688082534914</v>
      </c>
      <c r="BT18" s="11"/>
    </row>
    <row r="19" spans="1:72" s="11" customFormat="1">
      <c r="A19" s="11" t="s">
        <v>71</v>
      </c>
      <c r="B19" s="11" t="s">
        <v>72</v>
      </c>
      <c r="C19" s="11">
        <v>2013</v>
      </c>
      <c r="D19" s="14">
        <f>5527054+3440285</f>
        <v>8967339</v>
      </c>
      <c r="E19" s="14">
        <f>D19+2745692</f>
        <v>11713031</v>
      </c>
      <c r="F19" s="14">
        <f>L19-(2223115+1904693+167889+8612503+83579+2795548)</f>
        <v>15439049</v>
      </c>
      <c r="G19" s="14">
        <f>2656964+60623+332385+620903+12668+605531+413796+142864+2976+250604</f>
        <v>5099314</v>
      </c>
      <c r="H19" s="14">
        <f>M19-G19</f>
        <v>12545222</v>
      </c>
      <c r="I19" s="14">
        <v>-4068000</v>
      </c>
      <c r="J19" s="14">
        <f>K19-(I19+11911921)</f>
        <v>5712653</v>
      </c>
      <c r="K19" s="15">
        <v>13556574</v>
      </c>
      <c r="L19" s="14">
        <v>31226376</v>
      </c>
      <c r="M19" s="15">
        <f>17644536</f>
        <v>17644536</v>
      </c>
      <c r="N19" s="16">
        <f>(9361919-(164428+3303-23149+835470+226328))*1000</f>
        <v>8155539000</v>
      </c>
      <c r="O19" s="16">
        <f>(9361919+4226977+10470990+1131688)*1000</f>
        <v>25191574000</v>
      </c>
      <c r="P19" s="16">
        <f>26036560*1000</f>
        <v>26036560000</v>
      </c>
      <c r="Q19" s="16">
        <f t="shared" si="0"/>
        <v>12545222000</v>
      </c>
      <c r="R19" s="16">
        <f>-844986*1000</f>
        <v>-844986000</v>
      </c>
      <c r="S19" s="5">
        <v>4601893</v>
      </c>
      <c r="T19" s="18">
        <v>59685065119.952034</v>
      </c>
      <c r="U19" s="18">
        <v>5381518000</v>
      </c>
      <c r="V19" s="18">
        <v>12754199000</v>
      </c>
      <c r="W19" s="18">
        <v>190589832000</v>
      </c>
      <c r="X19" s="19">
        <f t="shared" si="1"/>
        <v>1.7585383053485233</v>
      </c>
      <c r="Y19" s="20">
        <f t="shared" si="2"/>
        <v>2.2969817116576858</v>
      </c>
      <c r="Z19" s="20">
        <f t="shared" si="3"/>
        <v>3.0276717613388779</v>
      </c>
      <c r="AA19" s="20">
        <f t="shared" si="4"/>
        <v>0.96754617353444539</v>
      </c>
      <c r="AB19" s="20">
        <f t="shared" si="5"/>
        <v>-183.61704628942914</v>
      </c>
      <c r="AC19" s="20">
        <f t="shared" si="6"/>
        <v>5.2668711860767964E-2</v>
      </c>
      <c r="AD19" s="20">
        <f t="shared" si="7"/>
        <v>0.40175081475993246</v>
      </c>
      <c r="AE19" s="20">
        <f t="shared" si="8"/>
        <v>2726.1003243665159</v>
      </c>
      <c r="AF19" s="20">
        <f t="shared" si="9"/>
        <v>4.2791049839426901E-2</v>
      </c>
      <c r="AG19" s="20">
        <f t="shared" si="10"/>
        <v>0.13217690437966281</v>
      </c>
      <c r="AH19" s="20">
        <f t="shared" si="11"/>
        <v>0.1366104357550407</v>
      </c>
      <c r="AI19" s="21">
        <f t="shared" si="12"/>
        <v>6.6919619300572136E-2</v>
      </c>
      <c r="AJ19" s="21">
        <f t="shared" si="29"/>
        <v>0.31315975513296024</v>
      </c>
      <c r="AK19" s="21">
        <f t="shared" si="30"/>
        <v>2.8236123320576723E-2</v>
      </c>
      <c r="AL19">
        <f t="shared" si="13"/>
        <v>2.4891050951509666</v>
      </c>
      <c r="AM19">
        <f t="shared" si="13"/>
        <v>3.6682435751236609E-4</v>
      </c>
      <c r="AN19">
        <f t="shared" si="13"/>
        <v>23.369372888781477</v>
      </c>
      <c r="AO19">
        <f t="shared" si="13"/>
        <v>7.5656182499751701</v>
      </c>
      <c r="AP19">
        <f t="shared" si="13"/>
        <v>7.320084988185843</v>
      </c>
      <c r="AQ19">
        <f t="shared" si="13"/>
        <v>14.943300790586692</v>
      </c>
      <c r="AR19">
        <f t="shared" si="13"/>
        <v>3.1932583405406727</v>
      </c>
      <c r="AS19">
        <f t="shared" si="13"/>
        <v>35.415626594577965</v>
      </c>
      <c r="AT19">
        <f t="shared" si="14"/>
        <v>-0.21712514801916175</v>
      </c>
      <c r="AU19">
        <f t="shared" si="15"/>
        <v>-0.32127504692096448</v>
      </c>
      <c r="AV19">
        <f t="shared" si="16"/>
        <v>-0.14906708564344642</v>
      </c>
      <c r="AW19">
        <f t="shared" si="17"/>
        <v>-0.88688935744951913</v>
      </c>
      <c r="AX19">
        <f t="shared" si="18"/>
        <v>-0.50690083329297964</v>
      </c>
      <c r="AY19">
        <f t="shared" si="19"/>
        <v>6.6394906026830236E-2</v>
      </c>
      <c r="AZ19">
        <f t="shared" si="31"/>
        <v>-0.45955761407953843</v>
      </c>
      <c r="BA19">
        <f t="shared" si="32"/>
        <v>-0.43641546585295182</v>
      </c>
      <c r="BB19">
        <f t="shared" si="33"/>
        <v>0.96460895177030459</v>
      </c>
      <c r="BC19">
        <f t="shared" si="34"/>
        <v>-5.9920318086977752E-2</v>
      </c>
      <c r="BD19">
        <f t="shared" si="20"/>
        <v>-0.41309091474165738</v>
      </c>
      <c r="BE19">
        <f t="shared" si="21"/>
        <v>-0.22838823374928396</v>
      </c>
      <c r="BF19">
        <f t="shared" si="22"/>
        <v>-0.53218726630653945</v>
      </c>
      <c r="BG19">
        <f t="shared" si="23"/>
        <v>-0.16520241853586959</v>
      </c>
      <c r="BH19">
        <f t="shared" si="24"/>
        <v>-7.3741544116249389E-3</v>
      </c>
      <c r="BI19">
        <f t="shared" si="25"/>
        <v>-1.9526009590811674E-2</v>
      </c>
      <c r="BJ19">
        <f t="shared" si="26"/>
        <v>-0.89638180798319833</v>
      </c>
      <c r="BK19">
        <f t="shared" si="27"/>
        <v>-0.1641962935206</v>
      </c>
      <c r="BL19">
        <f t="shared" si="28"/>
        <v>0.15557026289518508</v>
      </c>
      <c r="BM19" s="36" t="s">
        <v>73</v>
      </c>
      <c r="BN19" s="36">
        <v>50</v>
      </c>
      <c r="BO19" s="37">
        <f>AVERAGE(AI2:AI51)</f>
        <v>4.0197973087100686E-2</v>
      </c>
      <c r="BP19" s="37">
        <f>MEDIAN(AI2:AI51)</f>
        <v>3.5361806787367639E-2</v>
      </c>
      <c r="BQ19" s="37">
        <f>STDEV(AI2:AI51)</f>
        <v>2.5061843048393612E-2</v>
      </c>
      <c r="BR19" s="37">
        <f>MAX(AI3:AI51)</f>
        <v>0.11750635127947467</v>
      </c>
      <c r="BS19" s="37">
        <f>MIN(AI2:AI51)</f>
        <v>3.294718175565727E-4</v>
      </c>
    </row>
    <row r="20" spans="1:72" s="11" customFormat="1">
      <c r="A20" s="11" t="s">
        <v>74</v>
      </c>
      <c r="B20" s="11" t="s">
        <v>75</v>
      </c>
      <c r="C20" s="11">
        <v>2013</v>
      </c>
      <c r="D20" s="14">
        <f>291869+4155+117419+81901</f>
        <v>495344</v>
      </c>
      <c r="E20" s="14">
        <f>D20+361456+4924+295527</f>
        <v>1157251</v>
      </c>
      <c r="F20" s="14">
        <v>2064221</v>
      </c>
      <c r="G20" s="14">
        <v>1477808</v>
      </c>
      <c r="H20" s="14">
        <v>1237647</v>
      </c>
      <c r="I20" s="14">
        <v>-462181</v>
      </c>
      <c r="J20" s="14">
        <f>K20-(I20+4796048)</f>
        <v>725330</v>
      </c>
      <c r="K20" s="15">
        <v>5059197</v>
      </c>
      <c r="L20" s="14">
        <v>7774652</v>
      </c>
      <c r="M20" s="15">
        <v>2715455</v>
      </c>
      <c r="N20" s="16">
        <f>(294333+1508024+235112+49444+1140645+313154)*1000</f>
        <v>3540712000</v>
      </c>
      <c r="O20" s="16">
        <f>7808763*1000</f>
        <v>7808763000</v>
      </c>
      <c r="P20" s="16">
        <f>7474428*1000</f>
        <v>7474428000</v>
      </c>
      <c r="Q20" s="16">
        <f t="shared" si="0"/>
        <v>1237647000</v>
      </c>
      <c r="R20" s="16">
        <f>318448*1000</f>
        <v>318448000</v>
      </c>
      <c r="S20" s="5">
        <v>1329192</v>
      </c>
      <c r="T20" s="18">
        <v>13530294026.789642</v>
      </c>
      <c r="U20" s="18">
        <v>1720158000</v>
      </c>
      <c r="V20" s="18">
        <v>956359000</v>
      </c>
      <c r="W20" s="18">
        <v>54358810000</v>
      </c>
      <c r="X20" s="19">
        <f t="shared" si="1"/>
        <v>0.33518833299048323</v>
      </c>
      <c r="Y20" s="20">
        <f t="shared" si="2"/>
        <v>0.7830861654558644</v>
      </c>
      <c r="Z20" s="20">
        <f t="shared" si="3"/>
        <v>1.3968127118001796</v>
      </c>
      <c r="AA20" s="20">
        <f t="shared" si="4"/>
        <v>1.0447305131576623</v>
      </c>
      <c r="AB20" s="20">
        <f t="shared" si="5"/>
        <v>239.58013590211195</v>
      </c>
      <c r="AC20" s="20">
        <f t="shared" si="6"/>
        <v>3.3847045501200566E-2</v>
      </c>
      <c r="AD20" s="20">
        <f t="shared" si="7"/>
        <v>0.15919001905165658</v>
      </c>
      <c r="AE20" s="20">
        <f t="shared" si="8"/>
        <v>931.12733149161295</v>
      </c>
      <c r="AF20" s="20">
        <f t="shared" si="9"/>
        <v>6.5135936566676128E-2</v>
      </c>
      <c r="AG20" s="20">
        <f t="shared" si="10"/>
        <v>0.14365220651445459</v>
      </c>
      <c r="AH20" s="20">
        <f t="shared" si="11"/>
        <v>0.13750168555934172</v>
      </c>
      <c r="AI20" s="21">
        <f t="shared" si="12"/>
        <v>1.7593449893402745E-2</v>
      </c>
      <c r="AJ20" s="21">
        <f t="shared" si="29"/>
        <v>0.24890710497138629</v>
      </c>
      <c r="AK20" s="21">
        <f t="shared" si="30"/>
        <v>3.1644511717603824E-2</v>
      </c>
      <c r="AL20">
        <f t="shared" si="13"/>
        <v>6.2818008689068856</v>
      </c>
      <c r="AM20">
        <f t="shared" si="13"/>
        <v>1.0739669711961489E-3</v>
      </c>
      <c r="AN20">
        <f t="shared" si="13"/>
        <v>15.352508196091634</v>
      </c>
      <c r="AO20">
        <f t="shared" si="13"/>
        <v>6.9612575000675525</v>
      </c>
      <c r="AP20">
        <f t="shared" si="13"/>
        <v>7.2726381202681996</v>
      </c>
      <c r="AQ20">
        <f t="shared" si="13"/>
        <v>56.839335437842898</v>
      </c>
      <c r="AR20">
        <f t="shared" si="13"/>
        <v>4.0175630989519462</v>
      </c>
      <c r="AS20">
        <f t="shared" si="13"/>
        <v>31.601056414585173</v>
      </c>
      <c r="AT20">
        <f t="shared" si="14"/>
        <v>-0.87648050735478222</v>
      </c>
      <c r="AU20">
        <f t="shared" si="15"/>
        <v>-0.99171594233180393</v>
      </c>
      <c r="AV20">
        <f t="shared" si="16"/>
        <v>-0.86584479256251512</v>
      </c>
      <c r="AW20">
        <f t="shared" si="17"/>
        <v>-0.18455529651414199</v>
      </c>
      <c r="AX20">
        <f t="shared" si="18"/>
        <v>-0.18000405949083115</v>
      </c>
      <c r="AY20">
        <f t="shared" si="19"/>
        <v>1.9451742728414507E-2</v>
      </c>
      <c r="AZ20">
        <f t="shared" si="31"/>
        <v>0.21485988854778593</v>
      </c>
      <c r="BA20">
        <f t="shared" si="32"/>
        <v>0.65802728811840461</v>
      </c>
      <c r="BB20">
        <f t="shared" si="33"/>
        <v>-0.45131222338827892</v>
      </c>
      <c r="BC20">
        <f t="shared" si="34"/>
        <v>-0.38946056923578909</v>
      </c>
      <c r="BD20">
        <f t="shared" si="20"/>
        <v>-0.43854788065756367</v>
      </c>
      <c r="BE20">
        <f t="shared" si="21"/>
        <v>-0.13390293604709416</v>
      </c>
      <c r="BF20">
        <f t="shared" si="22"/>
        <v>1.834752121042767E-2</v>
      </c>
      <c r="BG20">
        <f t="shared" si="23"/>
        <v>-0.16597055104790492</v>
      </c>
      <c r="BH20">
        <f t="shared" si="24"/>
        <v>-0.623446294451659</v>
      </c>
      <c r="BI20">
        <f t="shared" si="25"/>
        <v>-0.86345218224847253</v>
      </c>
      <c r="BJ20">
        <f t="shared" si="26"/>
        <v>0.17567666117369488</v>
      </c>
      <c r="BK20">
        <f t="shared" si="27"/>
        <v>4.7946220577125651E-2</v>
      </c>
      <c r="BL20">
        <f t="shared" si="28"/>
        <v>0.1804894542830468</v>
      </c>
      <c r="BM20" s="36" t="s">
        <v>76</v>
      </c>
      <c r="BN20" s="11">
        <v>50</v>
      </c>
      <c r="BO20" s="38">
        <f>AVERAGE(AJ2:AJ51)</f>
        <v>0.28862057840340183</v>
      </c>
      <c r="BP20" s="38">
        <f>MEDIAN(AJ2:AJ51)</f>
        <v>0.26618599126572551</v>
      </c>
      <c r="BQ20" s="38">
        <f>STDEV(AJ2:AJ51)</f>
        <v>0.11598609319897513</v>
      </c>
      <c r="BR20" s="38">
        <f>MAX(AJ2:AJ51)</f>
        <v>0.67498103785143004</v>
      </c>
      <c r="BS20" s="38">
        <f>MIN(AJ2:AJ51)</f>
        <v>0.12251210486814487</v>
      </c>
    </row>
    <row r="21" spans="1:72" s="11" customFormat="1">
      <c r="A21" s="11" t="s">
        <v>77</v>
      </c>
      <c r="B21" s="11" t="s">
        <v>78</v>
      </c>
      <c r="C21" s="11">
        <v>2013</v>
      </c>
      <c r="D21" s="14">
        <f>211791+1983595+914753</f>
        <v>3110139</v>
      </c>
      <c r="E21" s="14">
        <f>D21+1303948+1228170+702652+907397</f>
        <v>7252306</v>
      </c>
      <c r="F21" s="14">
        <f>E21+136871+554702+30627+1060+377533+47733+188872</f>
        <v>8589704</v>
      </c>
      <c r="G21" s="14">
        <f>M21-H21</f>
        <v>4100079</v>
      </c>
      <c r="H21" s="14">
        <f>1056124+15552177+449907+8457351</f>
        <v>25515559</v>
      </c>
      <c r="I21" s="14">
        <v>-8802537</v>
      </c>
      <c r="J21" s="14">
        <f>K21-(I21+16599576)</f>
        <v>2508802</v>
      </c>
      <c r="K21" s="15">
        <v>10305841</v>
      </c>
      <c r="L21" s="14">
        <v>39950623</v>
      </c>
      <c r="M21" s="15">
        <v>29615638</v>
      </c>
      <c r="N21" s="16">
        <f>(17229263-3823)*1000</f>
        <v>17225440000</v>
      </c>
      <c r="O21" s="16">
        <f>(17229263+7875011+8825621+845162)*1000</f>
        <v>34775057000</v>
      </c>
      <c r="P21" s="16">
        <f>34835745*1000</f>
        <v>34835745000</v>
      </c>
      <c r="Q21" s="16">
        <f t="shared" si="0"/>
        <v>25515559000</v>
      </c>
      <c r="R21" s="16">
        <f>-60688*1000</f>
        <v>-60688000</v>
      </c>
      <c r="S21" s="5">
        <v>5884563</v>
      </c>
      <c r="T21" s="18">
        <v>67377704110.443504</v>
      </c>
      <c r="U21" s="18">
        <v>8791856000</v>
      </c>
      <c r="V21" s="18">
        <v>16829087000</v>
      </c>
      <c r="W21" s="18">
        <v>319125495000</v>
      </c>
      <c r="X21" s="19">
        <f t="shared" si="1"/>
        <v>0.75855587172832528</v>
      </c>
      <c r="Y21" s="20">
        <f t="shared" si="2"/>
        <v>1.7688210397897211</v>
      </c>
      <c r="Z21" s="20">
        <f t="shared" si="3"/>
        <v>2.0950093888434833</v>
      </c>
      <c r="AA21" s="20">
        <f t="shared" si="4"/>
        <v>0.99825788138017435</v>
      </c>
      <c r="AB21" s="20">
        <f t="shared" si="5"/>
        <v>-10.313085270732932</v>
      </c>
      <c r="AC21" s="20">
        <f t="shared" si="6"/>
        <v>-0.15753784365265092</v>
      </c>
      <c r="AD21" s="20">
        <f t="shared" si="7"/>
        <v>0.63867737431779226</v>
      </c>
      <c r="AE21" s="20">
        <f t="shared" si="8"/>
        <v>4336.015945449135</v>
      </c>
      <c r="AF21" s="20">
        <f t="shared" si="9"/>
        <v>5.3977009890732799E-2</v>
      </c>
      <c r="AG21" s="20">
        <f t="shared" si="10"/>
        <v>0.10896984899310536</v>
      </c>
      <c r="AH21" s="20">
        <f t="shared" si="11"/>
        <v>0.10916001869421307</v>
      </c>
      <c r="AI21" s="21">
        <f t="shared" si="12"/>
        <v>5.2735012600607166E-2</v>
      </c>
      <c r="AJ21" s="21">
        <f t="shared" si="29"/>
        <v>0.21113231367002974</v>
      </c>
      <c r="AK21" s="21">
        <f t="shared" si="30"/>
        <v>2.7549838974789527E-2</v>
      </c>
      <c r="AL21">
        <f t="shared" si="13"/>
        <v>1.5657357536238967</v>
      </c>
      <c r="AM21">
        <f t="shared" si="13"/>
        <v>2.3062645815441474E-4</v>
      </c>
      <c r="AN21">
        <f t="shared" si="13"/>
        <v>18.526406001820561</v>
      </c>
      <c r="AO21">
        <f t="shared" si="13"/>
        <v>9.176850378706785</v>
      </c>
      <c r="AP21">
        <f t="shared" si="13"/>
        <v>9.160863216790684</v>
      </c>
      <c r="AQ21">
        <f t="shared" si="13"/>
        <v>18.962733688405081</v>
      </c>
      <c r="AR21">
        <f t="shared" si="13"/>
        <v>4.7363664169515047</v>
      </c>
      <c r="AS21">
        <f t="shared" si="13"/>
        <v>36.297852808326247</v>
      </c>
      <c r="AT21">
        <f t="shared" si="14"/>
        <v>-0.6803589202140844</v>
      </c>
      <c r="AU21">
        <f t="shared" si="15"/>
        <v>-0.55517527514763687</v>
      </c>
      <c r="AV21">
        <f t="shared" si="16"/>
        <v>-0.55898086505684275</v>
      </c>
      <c r="AW21">
        <f t="shared" si="17"/>
        <v>-0.60743009673876835</v>
      </c>
      <c r="AX21">
        <f t="shared" si="18"/>
        <v>-0.37303296240884903</v>
      </c>
      <c r="AY21">
        <f t="shared" si="19"/>
        <v>-0.45788176923406931</v>
      </c>
      <c r="AZ21">
        <f t="shared" si="31"/>
        <v>-0.62375123319985748</v>
      </c>
      <c r="BA21">
        <f t="shared" si="32"/>
        <v>-0.64720859467022651</v>
      </c>
      <c r="BB21">
        <f t="shared" si="33"/>
        <v>0.10925469188207411</v>
      </c>
      <c r="BC21">
        <f t="shared" si="34"/>
        <v>0.81863746456587261</v>
      </c>
      <c r="BD21">
        <f t="shared" si="20"/>
        <v>0.57455338468132822</v>
      </c>
      <c r="BE21">
        <f t="shared" si="21"/>
        <v>-0.21932347816699838</v>
      </c>
      <c r="BF21">
        <f t="shared" si="22"/>
        <v>0.49842024662339529</v>
      </c>
      <c r="BG21">
        <f t="shared" si="23"/>
        <v>-0.16502476637434843</v>
      </c>
      <c r="BH21">
        <f t="shared" si="24"/>
        <v>0.59438777563531364</v>
      </c>
      <c r="BI21">
        <f t="shared" si="25"/>
        <v>0.73739341693825589</v>
      </c>
      <c r="BJ21">
        <f t="shared" si="26"/>
        <v>-0.35970407248905906</v>
      </c>
      <c r="BK21">
        <f t="shared" si="27"/>
        <v>-0.59322230230714745</v>
      </c>
      <c r="BL21">
        <f t="shared" si="28"/>
        <v>-0.61193868141460606</v>
      </c>
      <c r="BM21" s="36" t="s">
        <v>79</v>
      </c>
      <c r="BN21" s="11">
        <v>49</v>
      </c>
      <c r="BO21" s="38">
        <f>AVERAGE(AK2:AK27,AK29:AK51)</f>
        <v>3.6915673490450662E-2</v>
      </c>
      <c r="BP21" s="38">
        <f>MEDIAN(AK2:AK27,AK29:AK51)</f>
        <v>2.7249959419281738E-2</v>
      </c>
      <c r="BQ21" s="38">
        <f>STDEV(AK2:AK27,AK29:AK51)</f>
        <v>4.8888459066564471E-2</v>
      </c>
      <c r="BR21" s="38">
        <f>MAX(AK2:AK27,AK29:AK51)</f>
        <v>0.21541341085569091</v>
      </c>
      <c r="BS21" s="38">
        <f>MIN(AK2:AK27,AK29:AK51)</f>
        <v>2.8668402698408284E-5</v>
      </c>
    </row>
    <row r="22" spans="1:72" s="11" customFormat="1">
      <c r="A22" s="11" t="s">
        <v>80</v>
      </c>
      <c r="B22" s="11" t="s">
        <v>81</v>
      </c>
      <c r="C22" s="11">
        <v>2013</v>
      </c>
      <c r="D22" s="14">
        <v>3981714</v>
      </c>
      <c r="E22" s="14">
        <f>D22+2698780+1769454+1037128</f>
        <v>9487076</v>
      </c>
      <c r="F22" s="14">
        <v>9942814</v>
      </c>
      <c r="G22" s="14">
        <v>8363943</v>
      </c>
      <c r="H22" s="14">
        <v>39527479</v>
      </c>
      <c r="I22" s="14">
        <v>-25707579</v>
      </c>
      <c r="J22" s="14">
        <f>K22-(I22+2012780)</f>
        <v>2596046</v>
      </c>
      <c r="K22" s="15">
        <v>-21098753</v>
      </c>
      <c r="L22" s="14">
        <v>26806952</v>
      </c>
      <c r="M22" s="15">
        <v>47905705</v>
      </c>
      <c r="N22" s="16">
        <f>(23980273-(103858+228148+49542+999393))*1000</f>
        <v>22599332000</v>
      </c>
      <c r="O22" s="16">
        <f>(23980273+13536647+14627318+18726)*1000</f>
        <v>52162964000</v>
      </c>
      <c r="P22" s="16">
        <f>53300361*1000</f>
        <v>53300361000</v>
      </c>
      <c r="Q22" s="16">
        <f t="shared" si="0"/>
        <v>39527479000</v>
      </c>
      <c r="R22" s="16">
        <f>-1137397*1000</f>
        <v>-1137397000</v>
      </c>
      <c r="S22" s="5">
        <v>6646144</v>
      </c>
      <c r="T22" s="18">
        <v>89912169226.014221</v>
      </c>
      <c r="U22" s="18">
        <v>15377400000</v>
      </c>
      <c r="V22" s="18">
        <v>25319601000</v>
      </c>
      <c r="W22" s="18">
        <v>383152205000</v>
      </c>
      <c r="X22" s="19">
        <f t="shared" si="1"/>
        <v>0.47605704629981338</v>
      </c>
      <c r="Y22" s="20">
        <f t="shared" si="2"/>
        <v>1.1342827180912161</v>
      </c>
      <c r="Z22" s="20">
        <f t="shared" si="3"/>
        <v>1.188771133423554</v>
      </c>
      <c r="AA22" s="20">
        <f t="shared" si="4"/>
        <v>0.97866061357445588</v>
      </c>
      <c r="AB22" s="20">
        <f t="shared" si="5"/>
        <v>-171.13637622055737</v>
      </c>
      <c r="AC22" s="20">
        <f t="shared" si="6"/>
        <v>-0.86214699082536506</v>
      </c>
      <c r="AD22" s="20">
        <f t="shared" si="7"/>
        <v>1.4745234370546865</v>
      </c>
      <c r="AE22" s="20">
        <f t="shared" si="8"/>
        <v>5947.4304198043255</v>
      </c>
      <c r="AF22" s="20">
        <f t="shared" si="9"/>
        <v>5.8982648944953871E-2</v>
      </c>
      <c r="AG22" s="20">
        <f t="shared" si="10"/>
        <v>0.13614162549319009</v>
      </c>
      <c r="AH22" s="20">
        <f t="shared" si="11"/>
        <v>0.13911015075588565</v>
      </c>
      <c r="AI22" s="21">
        <f t="shared" si="12"/>
        <v>6.608235753204135E-2</v>
      </c>
      <c r="AJ22" s="21">
        <f t="shared" si="29"/>
        <v>0.23466436589087156</v>
      </c>
      <c r="AK22" s="21">
        <f t="shared" si="30"/>
        <v>4.0133920147999672E-2</v>
      </c>
      <c r="AL22">
        <f t="shared" si="13"/>
        <v>0.67818521894604</v>
      </c>
      <c r="AM22">
        <f t="shared" si="13"/>
        <v>1.6813984013501089E-4</v>
      </c>
      <c r="AN22">
        <f t="shared" si="13"/>
        <v>16.954138511704684</v>
      </c>
      <c r="AO22">
        <f t="shared" si="13"/>
        <v>7.3452920543395512</v>
      </c>
      <c r="AP22">
        <f t="shared" si="13"/>
        <v>7.1885480287835195</v>
      </c>
      <c r="AQ22">
        <f t="shared" si="13"/>
        <v>15.132632026863298</v>
      </c>
      <c r="AR22">
        <f t="shared" si="13"/>
        <v>4.261405417067202</v>
      </c>
      <c r="AS22">
        <f t="shared" si="13"/>
        <v>24.916579200645103</v>
      </c>
      <c r="AT22">
        <f t="shared" si="14"/>
        <v>-0.8112242155874505</v>
      </c>
      <c r="AU22">
        <f t="shared" si="15"/>
        <v>-0.83618570657361257</v>
      </c>
      <c r="AV22">
        <f t="shared" si="16"/>
        <v>-0.95728099947126122</v>
      </c>
      <c r="AW22">
        <f t="shared" si="17"/>
        <v>-0.78575420689398756</v>
      </c>
      <c r="AX22">
        <f t="shared" si="18"/>
        <v>-0.49726019542465694</v>
      </c>
      <c r="AY22">
        <f t="shared" si="19"/>
        <v>-2.2152491364689437</v>
      </c>
      <c r="AZ22">
        <f t="shared" si="31"/>
        <v>-0.7815755488739331</v>
      </c>
      <c r="BA22">
        <f t="shared" si="32"/>
        <v>-0.74391896820471404</v>
      </c>
      <c r="BB22">
        <f t="shared" si="33"/>
        <v>-0.16843576662079543</v>
      </c>
      <c r="BC22">
        <f t="shared" si="34"/>
        <v>-0.18005775231897009</v>
      </c>
      <c r="BD22">
        <f t="shared" si="20"/>
        <v>-0.48366526536052573</v>
      </c>
      <c r="BE22">
        <f t="shared" si="21"/>
        <v>-0.22796124779764118</v>
      </c>
      <c r="BF22">
        <f t="shared" si="22"/>
        <v>0.18120437411755155</v>
      </c>
      <c r="BG22">
        <f t="shared" si="23"/>
        <v>-0.16731659110791414</v>
      </c>
      <c r="BH22">
        <f t="shared" si="24"/>
        <v>2.7173255369117362</v>
      </c>
      <c r="BI22">
        <f t="shared" si="25"/>
        <v>1.4950175457167265</v>
      </c>
      <c r="BJ22">
        <f t="shared" si="26"/>
        <v>-0.11954453142161481</v>
      </c>
      <c r="BK22">
        <f t="shared" si="27"/>
        <v>-9.0900976775088266E-2</v>
      </c>
      <c r="BL22">
        <f t="shared" si="28"/>
        <v>0.22546186480136068</v>
      </c>
      <c r="BM22" s="11" t="s">
        <v>82</v>
      </c>
      <c r="BN22" s="11">
        <v>50</v>
      </c>
      <c r="BO22" s="38">
        <f>AVERAGE($AQ$2:$AQ$51)</f>
        <v>116.21367392678616</v>
      </c>
      <c r="BP22" s="38">
        <f>MEDIAN($AQ$2:$AQ$51)</f>
        <v>28.303516280553417</v>
      </c>
      <c r="BQ22" s="38">
        <f>STDEV($AQ$2:$AQ$51)</f>
        <v>443.41326816061058</v>
      </c>
      <c r="BR22" s="38">
        <f>MAX($AQ$2:$AQ$51)</f>
        <v>3035.1609658640764</v>
      </c>
      <c r="BS22" s="38">
        <f>MIN($AQ$2:$AQ$51)</f>
        <v>8.5101782934406724</v>
      </c>
    </row>
    <row r="23" spans="1:72" s="11" customFormat="1">
      <c r="A23" s="11" t="s">
        <v>83</v>
      </c>
      <c r="B23" s="11" t="s">
        <v>84</v>
      </c>
      <c r="C23" s="11">
        <v>2013</v>
      </c>
      <c r="D23" s="14">
        <f>23316+4352252+1806569</f>
        <v>6182137</v>
      </c>
      <c r="E23" s="14">
        <f>D23+4488340</f>
        <v>10670477</v>
      </c>
      <c r="F23" s="14">
        <v>13441908</v>
      </c>
      <c r="G23" s="14">
        <v>5560836</v>
      </c>
      <c r="H23" s="14">
        <v>13251225</v>
      </c>
      <c r="I23" s="14">
        <v>-5187086</v>
      </c>
      <c r="J23" s="14">
        <v>5617900</v>
      </c>
      <c r="K23" s="15">
        <v>20081300</v>
      </c>
      <c r="L23" s="14">
        <v>38893408</v>
      </c>
      <c r="M23" s="15">
        <v>18812061</v>
      </c>
      <c r="N23" s="16">
        <f>(13106100+10641500+2077700)*1000</f>
        <v>25825300000</v>
      </c>
      <c r="O23" s="16">
        <f>52799700*1000</f>
        <v>52799700000</v>
      </c>
      <c r="P23" s="16">
        <f>50273600*1000</f>
        <v>50273600000</v>
      </c>
      <c r="Q23" s="16">
        <f t="shared" si="0"/>
        <v>13251225000</v>
      </c>
      <c r="R23" s="16">
        <f>2549005*1000</f>
        <v>2549005000</v>
      </c>
      <c r="S23" s="5">
        <v>9883360</v>
      </c>
      <c r="T23" s="18">
        <v>118897115789.11566</v>
      </c>
      <c r="U23" s="18">
        <v>22551600000</v>
      </c>
      <c r="V23" s="18">
        <v>7751000000</v>
      </c>
      <c r="W23" s="18">
        <v>386471202000</v>
      </c>
      <c r="X23" s="19">
        <f t="shared" si="1"/>
        <v>1.1117279847850214</v>
      </c>
      <c r="Y23" s="20">
        <f t="shared" si="2"/>
        <v>1.9188620200272046</v>
      </c>
      <c r="Z23" s="20">
        <f t="shared" si="3"/>
        <v>2.4172458961206553</v>
      </c>
      <c r="AA23" s="20">
        <f t="shared" si="4"/>
        <v>1.0502470481525095</v>
      </c>
      <c r="AB23" s="20">
        <f t="shared" si="5"/>
        <v>257.90874763238412</v>
      </c>
      <c r="AC23" s="20">
        <f t="shared" si="6"/>
        <v>1.1076787099757368E-2</v>
      </c>
      <c r="AD23" s="20">
        <f t="shared" si="7"/>
        <v>0.34070619370768435</v>
      </c>
      <c r="AE23" s="20">
        <f t="shared" si="8"/>
        <v>1340.7611379126126</v>
      </c>
      <c r="AF23" s="20">
        <f t="shared" si="9"/>
        <v>6.6823348974912752E-2</v>
      </c>
      <c r="AG23" s="20">
        <f t="shared" si="10"/>
        <v>0.13662001134045687</v>
      </c>
      <c r="AH23" s="20">
        <f t="shared" si="11"/>
        <v>0.13008368990970767</v>
      </c>
      <c r="AI23" s="21">
        <f t="shared" si="12"/>
        <v>2.0055828118339333E-2</v>
      </c>
      <c r="AJ23" s="21">
        <f t="shared" si="29"/>
        <v>0.30764806064156797</v>
      </c>
      <c r="AK23" s="21">
        <f t="shared" si="30"/>
        <v>5.8352601392535321E-2</v>
      </c>
      <c r="AL23">
        <f t="shared" si="13"/>
        <v>2.9350801906993502</v>
      </c>
      <c r="AM23">
        <f t="shared" si="13"/>
        <v>7.4584500678239189E-4</v>
      </c>
      <c r="AN23">
        <f t="shared" si="13"/>
        <v>14.964829140416569</v>
      </c>
      <c r="AO23">
        <f t="shared" si="13"/>
        <v>7.3195719293859627</v>
      </c>
      <c r="AP23">
        <f t="shared" si="13"/>
        <v>7.6873588125775765</v>
      </c>
      <c r="AQ23">
        <f t="shared" si="13"/>
        <v>49.860818217004258</v>
      </c>
      <c r="AR23">
        <f t="shared" si="13"/>
        <v>3.2504674266907592</v>
      </c>
      <c r="AS23">
        <f t="shared" si="13"/>
        <v>17.137196562549885</v>
      </c>
      <c r="AT23">
        <f t="shared" si="14"/>
        <v>-0.51675479611659836</v>
      </c>
      <c r="AU23">
        <f t="shared" si="15"/>
        <v>-0.48872841268667278</v>
      </c>
      <c r="AV23">
        <f t="shared" si="16"/>
        <v>-0.41735492574769562</v>
      </c>
      <c r="AW23">
        <f t="shared" si="17"/>
        <v>-0.13435793207290106</v>
      </c>
      <c r="AX23">
        <f t="shared" si="18"/>
        <v>-0.16584620519730617</v>
      </c>
      <c r="AY23">
        <f t="shared" si="19"/>
        <v>-3.7339613470646224E-2</v>
      </c>
      <c r="AZ23">
        <f t="shared" si="31"/>
        <v>-0.38025428259300942</v>
      </c>
      <c r="BA23">
        <f t="shared" si="32"/>
        <v>0.15019379113717288</v>
      </c>
      <c r="BB23">
        <f t="shared" si="33"/>
        <v>-0.51978325354004662</v>
      </c>
      <c r="BC23">
        <f t="shared" si="34"/>
        <v>-0.19408218464367019</v>
      </c>
      <c r="BD23">
        <f t="shared" si="20"/>
        <v>-0.21603518399092031</v>
      </c>
      <c r="BE23">
        <f t="shared" si="21"/>
        <v>-0.14964111467622557</v>
      </c>
      <c r="BF23">
        <f t="shared" si="22"/>
        <v>-0.49397859194636612</v>
      </c>
      <c r="BG23">
        <f t="shared" si="23"/>
        <v>-0.16888311012471602</v>
      </c>
      <c r="BH23">
        <f t="shared" si="24"/>
        <v>-0.16241936779731089</v>
      </c>
      <c r="BI23">
        <f t="shared" si="25"/>
        <v>-0.67085837063330445</v>
      </c>
      <c r="BJ23">
        <f t="shared" si="26"/>
        <v>0.25663499339940493</v>
      </c>
      <c r="BK23">
        <f t="shared" si="27"/>
        <v>-8.2057115833052405E-2</v>
      </c>
      <c r="BL23">
        <f t="shared" si="28"/>
        <v>-2.6916429471988568E-2</v>
      </c>
      <c r="BM23" s="11" t="s">
        <v>85</v>
      </c>
      <c r="BN23" s="11">
        <v>50</v>
      </c>
      <c r="BO23" s="38">
        <f>AVERAGE($AR$2:$AR$51)</f>
        <v>3.9900917213356113</v>
      </c>
      <c r="BP23" s="38">
        <f>MEDIAN($AR$2:$AR$51)</f>
        <v>3.7592543367330826</v>
      </c>
      <c r="BQ23" s="38">
        <f>STDEV($AR$2:$AR$51)</f>
        <v>1.4972800576854899</v>
      </c>
      <c r="BR23" s="38">
        <f>MAX($AR$2:$AR$51)</f>
        <v>8.1624587307210348</v>
      </c>
      <c r="BS23" s="38">
        <f>MIN($AR$2:$AR$51)</f>
        <v>1.4815231005350253</v>
      </c>
    </row>
    <row r="24" spans="1:72" s="11" customFormat="1">
      <c r="A24" s="11" t="s">
        <v>86</v>
      </c>
      <c r="B24" s="11" t="s">
        <v>87</v>
      </c>
      <c r="C24" s="11">
        <v>2013</v>
      </c>
      <c r="D24" s="14">
        <f>7966174+1635339</f>
        <v>9601513</v>
      </c>
      <c r="E24" s="14">
        <f>D24+3430088</f>
        <v>13031601</v>
      </c>
      <c r="F24" s="14">
        <v>14494794</v>
      </c>
      <c r="G24" s="14">
        <v>6475114</v>
      </c>
      <c r="H24" s="14">
        <v>8813178</v>
      </c>
      <c r="I24" s="14">
        <v>-2011058</v>
      </c>
      <c r="J24" s="14">
        <f>K24-(I24+11707599)</f>
        <v>5949739</v>
      </c>
      <c r="K24" s="15">
        <v>15646280</v>
      </c>
      <c r="L24" s="14">
        <v>30934572</v>
      </c>
      <c r="M24" s="15">
        <v>15288292</v>
      </c>
      <c r="N24" s="16">
        <f>(21169761-(130330+40674+171338))*1000</f>
        <v>20827419000</v>
      </c>
      <c r="O24" s="16">
        <f>(21169761+4662320+9863249+167097)*1000</f>
        <v>35862427000</v>
      </c>
      <c r="P24" s="16">
        <f>33507751*1000</f>
        <v>33507751000</v>
      </c>
      <c r="Q24" s="16">
        <f t="shared" si="0"/>
        <v>8813178000</v>
      </c>
      <c r="R24" s="16">
        <f>2354676*1000</f>
        <v>2354676000</v>
      </c>
      <c r="S24" s="5">
        <v>5379139</v>
      </c>
      <c r="T24" s="18">
        <v>89500914008.271698</v>
      </c>
      <c r="U24" s="18">
        <v>651890000</v>
      </c>
      <c r="V24" s="18">
        <v>7903802000</v>
      </c>
      <c r="W24" s="18">
        <v>257465551000</v>
      </c>
      <c r="X24" s="19">
        <f t="shared" si="1"/>
        <v>1.4828330435572254</v>
      </c>
      <c r="Y24" s="20">
        <f t="shared" si="2"/>
        <v>2.0125670374297657</v>
      </c>
      <c r="Z24" s="20">
        <f t="shared" si="3"/>
        <v>2.2385388118263245</v>
      </c>
      <c r="AA24" s="20">
        <f t="shared" si="4"/>
        <v>1.0702725766345822</v>
      </c>
      <c r="AB24" s="20">
        <f t="shared" si="5"/>
        <v>437.74217397988787</v>
      </c>
      <c r="AC24" s="20">
        <f t="shared" si="6"/>
        <v>0.12732295116286077</v>
      </c>
      <c r="AD24" s="20">
        <f t="shared" si="7"/>
        <v>0.28489736337713029</v>
      </c>
      <c r="AE24" s="20">
        <f t="shared" si="8"/>
        <v>1638.3993795289543</v>
      </c>
      <c r="AF24" s="20">
        <f t="shared" si="9"/>
        <v>8.0894002786415495E-2</v>
      </c>
      <c r="AG24" s="20">
        <f t="shared" si="10"/>
        <v>0.1392901957590435</v>
      </c>
      <c r="AH24" s="20">
        <f t="shared" si="11"/>
        <v>0.13014459942254566</v>
      </c>
      <c r="AI24" s="21">
        <f t="shared" si="12"/>
        <v>3.0698483619659083E-2</v>
      </c>
      <c r="AJ24" s="21">
        <f t="shared" si="29"/>
        <v>0.34762287094583655</v>
      </c>
      <c r="AK24" s="21">
        <f t="shared" si="30"/>
        <v>2.5319503811987647E-3</v>
      </c>
      <c r="AL24">
        <f t="shared" si="13"/>
        <v>3.5100359938265173</v>
      </c>
      <c r="AM24">
        <f t="shared" si="13"/>
        <v>6.1035179364356425E-4</v>
      </c>
      <c r="AN24">
        <f t="shared" si="13"/>
        <v>12.361855830528016</v>
      </c>
      <c r="AO24">
        <f t="shared" si="13"/>
        <v>7.1792561892144118</v>
      </c>
      <c r="AP24">
        <f t="shared" si="13"/>
        <v>7.6837610199502793</v>
      </c>
      <c r="AQ24">
        <f t="shared" si="13"/>
        <v>32.574898890432728</v>
      </c>
      <c r="AR24">
        <f t="shared" si="13"/>
        <v>2.8766806892743571</v>
      </c>
      <c r="AS24">
        <f t="shared" si="13"/>
        <v>394.95244749881118</v>
      </c>
      <c r="AT24">
        <f t="shared" si="14"/>
        <v>-0.34484337999970394</v>
      </c>
      <c r="AU24">
        <f t="shared" si="15"/>
        <v>-0.44723038732456755</v>
      </c>
      <c r="AV24">
        <f t="shared" si="16"/>
        <v>-0.49589834991848175</v>
      </c>
      <c r="AW24">
        <f t="shared" si="17"/>
        <v>4.7863109265912043E-2</v>
      </c>
      <c r="AX24">
        <f t="shared" si="18"/>
        <v>-2.6934677974097977E-2</v>
      </c>
      <c r="AY24">
        <f t="shared" si="19"/>
        <v>0.25259022367444878</v>
      </c>
      <c r="AZ24">
        <f t="shared" si="31"/>
        <v>-0.27801559011752214</v>
      </c>
      <c r="BA24">
        <f t="shared" si="32"/>
        <v>-5.9508696681497927E-2</v>
      </c>
      <c r="BB24">
        <f t="shared" si="33"/>
        <v>-0.97951472826538855</v>
      </c>
      <c r="BC24">
        <f t="shared" si="34"/>
        <v>-0.27059225625790462</v>
      </c>
      <c r="BD24">
        <f t="shared" si="20"/>
        <v>-0.21796553025623294</v>
      </c>
      <c r="BE24">
        <f t="shared" si="21"/>
        <v>-0.18862488121590956</v>
      </c>
      <c r="BF24">
        <f t="shared" si="22"/>
        <v>-0.74362242811299839</v>
      </c>
      <c r="BG24">
        <f t="shared" si="23"/>
        <v>-9.2803194408633868E-2</v>
      </c>
      <c r="BH24">
        <f t="shared" si="24"/>
        <v>-0.30416636955198278</v>
      </c>
      <c r="BI24">
        <f t="shared" si="25"/>
        <v>-0.53092049798513297</v>
      </c>
      <c r="BJ24">
        <f t="shared" si="26"/>
        <v>0.93171398437056319</v>
      </c>
      <c r="BK24">
        <f t="shared" si="27"/>
        <v>-3.2693741430377489E-2</v>
      </c>
      <c r="BL24">
        <f t="shared" si="28"/>
        <v>-2.5213409958910846E-2</v>
      </c>
      <c r="BM24" s="11" t="s">
        <v>88</v>
      </c>
      <c r="BN24" s="11">
        <v>49</v>
      </c>
      <c r="BO24" s="20">
        <f>AVERAGE($AS$2:$AS$27, $AS$29:$AS$51)</f>
        <v>855.81602566091169</v>
      </c>
      <c r="BP24" s="20">
        <f>MEDIAN($AS$2:$AS$27, $AS$29:$AS$51)</f>
        <v>36.697302356069279</v>
      </c>
      <c r="BQ24" s="20">
        <f>STDEV($AS$2:$AS$27, $AS$29:$AS$51)</f>
        <v>4966.031407634654</v>
      </c>
      <c r="BR24" s="20">
        <f>MAX($AS$2:$AS$27, $AS$29:$AS$51)</f>
        <v>34881.608526293014</v>
      </c>
      <c r="BS24" s="20">
        <f>MIN($AS$2:$AS$27, $AS$29:$AS$51)</f>
        <v>4.6422365071314751</v>
      </c>
    </row>
    <row r="25" spans="1:72" s="11" customFormat="1">
      <c r="A25" s="11" t="s">
        <v>89</v>
      </c>
      <c r="B25" s="11" t="s">
        <v>90</v>
      </c>
      <c r="C25" s="11">
        <v>2013</v>
      </c>
      <c r="D25" s="14">
        <f>3447889+1123853</f>
        <v>4571742</v>
      </c>
      <c r="E25" s="14">
        <f>D25+72418</f>
        <v>4644160</v>
      </c>
      <c r="F25" s="14">
        <v>5936299</v>
      </c>
      <c r="G25" s="14">
        <v>2007863</v>
      </c>
      <c r="H25" s="14">
        <v>5801519</v>
      </c>
      <c r="I25" s="14">
        <v>-2934403</v>
      </c>
      <c r="J25" s="14">
        <v>4181299</v>
      </c>
      <c r="K25" s="15">
        <v>14620411</v>
      </c>
      <c r="L25" s="14">
        <v>22295729</v>
      </c>
      <c r="M25" s="15">
        <v>7809382</v>
      </c>
      <c r="N25" s="16">
        <f>6469135*1000</f>
        <v>6469135000</v>
      </c>
      <c r="O25" s="16">
        <f>16701984*1000</f>
        <v>16701984000</v>
      </c>
      <c r="P25" s="16">
        <f>16210919*1000</f>
        <v>16210919000</v>
      </c>
      <c r="Q25" s="16">
        <f t="shared" si="0"/>
        <v>5801519000</v>
      </c>
      <c r="R25" s="16">
        <f>491065*1000</f>
        <v>491065000</v>
      </c>
      <c r="S25" s="5">
        <v>2984926</v>
      </c>
      <c r="T25" s="18">
        <v>49094699578.066612</v>
      </c>
      <c r="U25" s="18">
        <v>690339000</v>
      </c>
      <c r="V25" s="18">
        <v>5378747000</v>
      </c>
      <c r="W25" s="18">
        <v>101441549000</v>
      </c>
      <c r="X25" s="19">
        <f t="shared" si="1"/>
        <v>2.2769192918042713</v>
      </c>
      <c r="Y25" s="20">
        <f t="shared" si="2"/>
        <v>2.3129864936004099</v>
      </c>
      <c r="Z25" s="20">
        <f t="shared" si="3"/>
        <v>2.956525918351999</v>
      </c>
      <c r="AA25" s="20">
        <f t="shared" si="4"/>
        <v>1.0302922369792853</v>
      </c>
      <c r="AB25" s="20">
        <f t="shared" si="5"/>
        <v>164.51496620016709</v>
      </c>
      <c r="AC25" s="20">
        <f t="shared" si="6"/>
        <v>5.5925329914083548E-2</v>
      </c>
      <c r="AD25" s="20">
        <f t="shared" si="7"/>
        <v>0.26020763887110399</v>
      </c>
      <c r="AE25" s="20">
        <f t="shared" si="8"/>
        <v>1943.6056371246725</v>
      </c>
      <c r="AF25" s="20">
        <f t="shared" si="9"/>
        <v>6.3772044726958965E-2</v>
      </c>
      <c r="AG25" s="20">
        <f t="shared" si="10"/>
        <v>0.16464638173062598</v>
      </c>
      <c r="AH25" s="20">
        <f t="shared" si="11"/>
        <v>0.15980551519377922</v>
      </c>
      <c r="AI25" s="21">
        <f t="shared" si="12"/>
        <v>5.3023115804353503E-2</v>
      </c>
      <c r="AJ25" s="21">
        <f t="shared" si="29"/>
        <v>0.48397032638043225</v>
      </c>
      <c r="AK25" s="21">
        <f t="shared" si="30"/>
        <v>6.8052884326519894E-3</v>
      </c>
      <c r="AL25">
        <f t="shared" si="13"/>
        <v>3.8430847162613788</v>
      </c>
      <c r="AM25">
        <f t="shared" si="13"/>
        <v>5.1450766600953993E-4</v>
      </c>
      <c r="AN25">
        <f t="shared" si="13"/>
        <v>15.680852076823255</v>
      </c>
      <c r="AO25">
        <f t="shared" si="13"/>
        <v>6.0736226905737665</v>
      </c>
      <c r="AP25">
        <f t="shared" si="13"/>
        <v>6.2576063084393923</v>
      </c>
      <c r="AQ25">
        <f t="shared" si="13"/>
        <v>18.859698922444203</v>
      </c>
      <c r="AR25">
        <f t="shared" si="13"/>
        <v>2.0662423820049138</v>
      </c>
      <c r="AS25">
        <f t="shared" si="13"/>
        <v>146.94454318820175</v>
      </c>
      <c r="AT25">
        <f t="shared" si="14"/>
        <v>2.301065008749318E-2</v>
      </c>
      <c r="AU25">
        <f t="shared" si="15"/>
        <v>-0.3141871997022736</v>
      </c>
      <c r="AV25">
        <f t="shared" si="16"/>
        <v>-0.18033634475408741</v>
      </c>
      <c r="AW25">
        <f t="shared" si="17"/>
        <v>-0.31593548569199692</v>
      </c>
      <c r="AX25">
        <f t="shared" si="18"/>
        <v>-0.23798781466000019</v>
      </c>
      <c r="AY25">
        <f t="shared" si="19"/>
        <v>7.45172449396998E-2</v>
      </c>
      <c r="AZ25">
        <f t="shared" si="31"/>
        <v>-0.21879283642554745</v>
      </c>
      <c r="BA25">
        <f t="shared" si="32"/>
        <v>-0.20784639967088486</v>
      </c>
      <c r="BB25">
        <f t="shared" si="33"/>
        <v>-0.39332084255761918</v>
      </c>
      <c r="BC25">
        <f t="shared" si="34"/>
        <v>-0.87346188483036202</v>
      </c>
      <c r="BD25">
        <f t="shared" si="20"/>
        <v>-0.98314927104097316</v>
      </c>
      <c r="BE25">
        <f t="shared" si="21"/>
        <v>-0.21955584551673576</v>
      </c>
      <c r="BF25">
        <f t="shared" si="22"/>
        <v>-1.2848961217747084</v>
      </c>
      <c r="BG25">
        <f t="shared" si="23"/>
        <v>-0.14274405944813567</v>
      </c>
      <c r="BH25">
        <f t="shared" si="24"/>
        <v>-0.36687498398001311</v>
      </c>
      <c r="BI25">
        <f t="shared" si="25"/>
        <v>-0.38742443990161535</v>
      </c>
      <c r="BJ25">
        <f t="shared" si="26"/>
        <v>0.11024013354074584</v>
      </c>
      <c r="BK25">
        <f t="shared" si="27"/>
        <v>0.43606298294658763</v>
      </c>
      <c r="BL25">
        <f t="shared" si="28"/>
        <v>0.80410069847142351</v>
      </c>
    </row>
    <row r="26" spans="1:72" s="11" customFormat="1">
      <c r="A26" s="11" t="s">
        <v>91</v>
      </c>
      <c r="B26" s="11" t="s">
        <v>92</v>
      </c>
      <c r="C26" s="11">
        <v>2013</v>
      </c>
      <c r="D26" s="14">
        <f>1229169+2979413</f>
        <v>4208582</v>
      </c>
      <c r="E26" s="14">
        <f>D26+3665457</f>
        <v>7874039</v>
      </c>
      <c r="F26" s="14">
        <f>E26+219211+78828+244+70583</f>
        <v>8242905</v>
      </c>
      <c r="G26" s="14">
        <f>M26-(925560+6764689)</f>
        <v>1862287</v>
      </c>
      <c r="H26" s="14">
        <f>925560+6764689</f>
        <v>7690249</v>
      </c>
      <c r="I26" s="14">
        <v>-1640869</v>
      </c>
      <c r="J26" s="14">
        <f>K26-(I26+28547171)</f>
        <v>3832522</v>
      </c>
      <c r="K26" s="15">
        <v>30738824</v>
      </c>
      <c r="L26" s="14">
        <v>40291360</v>
      </c>
      <c r="M26" s="15">
        <v>9552536</v>
      </c>
      <c r="N26" s="16">
        <f>(2883808+6263009+1536303)*1000</f>
        <v>10683120000</v>
      </c>
      <c r="O26" s="16">
        <f>(10786971+3043011+10877009+1032849)*1000</f>
        <v>25739840000</v>
      </c>
      <c r="P26" s="16">
        <f>24621963*1000</f>
        <v>24621963000</v>
      </c>
      <c r="Q26" s="16">
        <f t="shared" si="0"/>
        <v>7690249000</v>
      </c>
      <c r="R26" s="16">
        <f>1117877*1000</f>
        <v>1117877000</v>
      </c>
      <c r="S26" s="5">
        <v>6021988</v>
      </c>
      <c r="T26" s="18">
        <v>67994175836.810638</v>
      </c>
      <c r="U26" s="18">
        <v>3168044000</v>
      </c>
      <c r="V26" s="18">
        <v>4126999000</v>
      </c>
      <c r="W26" s="18">
        <v>245771389000</v>
      </c>
      <c r="X26" s="19">
        <f t="shared" si="1"/>
        <v>2.2598997898820108</v>
      </c>
      <c r="Y26" s="20">
        <f t="shared" si="2"/>
        <v>4.2281554883860544</v>
      </c>
      <c r="Z26" s="20">
        <f t="shared" si="3"/>
        <v>4.426226999383017</v>
      </c>
      <c r="AA26" s="20">
        <f t="shared" si="4"/>
        <v>1.0454016196840195</v>
      </c>
      <c r="AB26" s="20">
        <f t="shared" si="5"/>
        <v>185.63255190810742</v>
      </c>
      <c r="AC26" s="20">
        <f t="shared" si="6"/>
        <v>5.4395111011393014E-2</v>
      </c>
      <c r="AD26" s="20">
        <f t="shared" si="7"/>
        <v>0.1908659573665421</v>
      </c>
      <c r="AE26" s="20">
        <f t="shared" si="8"/>
        <v>1277.0282836830629</v>
      </c>
      <c r="AF26" s="20">
        <f t="shared" si="9"/>
        <v>4.3467712183536546E-2</v>
      </c>
      <c r="AG26" s="20">
        <f t="shared" si="10"/>
        <v>0.10473082365173109</v>
      </c>
      <c r="AH26" s="20">
        <f t="shared" si="11"/>
        <v>0.10018238127791189</v>
      </c>
      <c r="AI26" s="21">
        <f t="shared" si="12"/>
        <v>1.6792023745286315E-2</v>
      </c>
      <c r="AJ26" s="21">
        <f t="shared" si="29"/>
        <v>0.27665618896270566</v>
      </c>
      <c r="AK26" s="21">
        <f t="shared" si="30"/>
        <v>1.2890206679020721E-2</v>
      </c>
      <c r="AL26">
        <f t="shared" si="13"/>
        <v>5.2392789882356219</v>
      </c>
      <c r="AM26">
        <f t="shared" si="13"/>
        <v>7.8306801249218322E-4</v>
      </c>
      <c r="AN26">
        <f t="shared" si="13"/>
        <v>23.005581609117936</v>
      </c>
      <c r="AO26">
        <f t="shared" si="13"/>
        <v>9.5482873630916121</v>
      </c>
      <c r="AP26">
        <f t="shared" si="13"/>
        <v>9.9817950745844275</v>
      </c>
      <c r="AQ26">
        <f t="shared" si="13"/>
        <v>59.552083487299129</v>
      </c>
      <c r="AR26">
        <f t="shared" si="13"/>
        <v>3.6145947204340469</v>
      </c>
      <c r="AS26">
        <f t="shared" si="13"/>
        <v>77.57827511234062</v>
      </c>
      <c r="AT26">
        <f t="shared" si="14"/>
        <v>1.512650351525259E-2</v>
      </c>
      <c r="AU26">
        <f t="shared" si="15"/>
        <v>0.53396089013693804</v>
      </c>
      <c r="AV26">
        <f t="shared" si="16"/>
        <v>0.46561093745639298</v>
      </c>
      <c r="AW26">
        <f t="shared" si="17"/>
        <v>-0.17844860473861401</v>
      </c>
      <c r="AX26">
        <f t="shared" si="18"/>
        <v>-0.22167562987023573</v>
      </c>
      <c r="AY26">
        <f t="shared" si="19"/>
        <v>7.0700722297175639E-2</v>
      </c>
      <c r="AZ26">
        <f t="shared" si="31"/>
        <v>2.9478554230960973E-2</v>
      </c>
      <c r="BA26">
        <f t="shared" si="32"/>
        <v>0.20780373868070023</v>
      </c>
      <c r="BB26">
        <f t="shared" si="33"/>
        <v>0.90035692857184157</v>
      </c>
      <c r="BC26">
        <f t="shared" si="34"/>
        <v>1.0211711948566693</v>
      </c>
      <c r="BD26">
        <f t="shared" si="20"/>
        <v>1.0150131081642721</v>
      </c>
      <c r="BE26">
        <f t="shared" si="21"/>
        <v>-0.12778505856293726</v>
      </c>
      <c r="BF26">
        <f t="shared" si="22"/>
        <v>-0.25078608305383515</v>
      </c>
      <c r="BG26">
        <f t="shared" si="23"/>
        <v>-0.15671220873716737</v>
      </c>
      <c r="BH26">
        <f t="shared" si="24"/>
        <v>-0.54299362670522888</v>
      </c>
      <c r="BI26">
        <f t="shared" si="25"/>
        <v>-0.70082306868502664</v>
      </c>
      <c r="BJ26">
        <f t="shared" si="26"/>
        <v>-0.86391703849847945</v>
      </c>
      <c r="BK26">
        <f t="shared" si="27"/>
        <v>-0.67158864793186102</v>
      </c>
      <c r="BL26">
        <f t="shared" si="28"/>
        <v>-0.86295188097776254</v>
      </c>
      <c r="BM26" s="11" t="s">
        <v>93</v>
      </c>
    </row>
    <row r="27" spans="1:72">
      <c r="A27" t="s">
        <v>94</v>
      </c>
      <c r="B27" s="11" t="s">
        <v>95</v>
      </c>
      <c r="C27" s="11">
        <v>2013</v>
      </c>
      <c r="D27" s="14">
        <f>1826867+2030044+349028</f>
        <v>4205939</v>
      </c>
      <c r="E27" s="14">
        <f>D27+454435</f>
        <v>4660374</v>
      </c>
      <c r="F27" s="14">
        <f>L27-4894047</f>
        <v>5553122</v>
      </c>
      <c r="G27" s="14">
        <f>M27-(238146+767433+199959)</f>
        <v>1029007</v>
      </c>
      <c r="H27" s="14">
        <f>238146+767433+199959</f>
        <v>1205538</v>
      </c>
      <c r="I27" s="14">
        <v>929028</v>
      </c>
      <c r="J27" s="14">
        <f>K27-(I27+4695903)</f>
        <v>2587693</v>
      </c>
      <c r="K27" s="15">
        <v>8212624</v>
      </c>
      <c r="L27" s="14">
        <v>10447169</v>
      </c>
      <c r="M27" s="15">
        <v>2234545</v>
      </c>
      <c r="N27" s="16">
        <f>(256613+216065+310344+1041767+174510+348998)*1000</f>
        <v>2348297000</v>
      </c>
      <c r="O27" s="16">
        <f>(2426420+978738+1877201+455755)*1000</f>
        <v>5738114000</v>
      </c>
      <c r="P27" s="16">
        <f>5242114*1000</f>
        <v>5242114000</v>
      </c>
      <c r="Q27" s="16">
        <f t="shared" si="0"/>
        <v>1205538000</v>
      </c>
      <c r="R27" s="16">
        <f>496000*1000</f>
        <v>496000000</v>
      </c>
      <c r="S27" s="5">
        <v>1005141</v>
      </c>
      <c r="T27" s="18">
        <v>12279678289.540392</v>
      </c>
      <c r="U27" s="18">
        <v>447074000</v>
      </c>
      <c r="V27" s="18">
        <v>288202000</v>
      </c>
      <c r="W27" s="18">
        <v>39962564000</v>
      </c>
      <c r="X27" s="19">
        <f t="shared" si="1"/>
        <v>4.0873764707139992</v>
      </c>
      <c r="Y27" s="20">
        <f t="shared" si="2"/>
        <v>4.529001260438462</v>
      </c>
      <c r="Z27" s="20">
        <f t="shared" si="3"/>
        <v>5.3965833079852716</v>
      </c>
      <c r="AA27" s="20">
        <f t="shared" si="4"/>
        <v>1.0946183161983887</v>
      </c>
      <c r="AB27" s="20">
        <f t="shared" si="5"/>
        <v>493.46310617117399</v>
      </c>
      <c r="AC27" s="20">
        <f t="shared" si="6"/>
        <v>0.33661951864663048</v>
      </c>
      <c r="AD27" s="20">
        <f t="shared" si="7"/>
        <v>0.1153937492539845</v>
      </c>
      <c r="AE27" s="20">
        <f t="shared" si="8"/>
        <v>1199.3720284019853</v>
      </c>
      <c r="AF27" s="20">
        <f t="shared" si="9"/>
        <v>5.8762420749579533E-2</v>
      </c>
      <c r="AG27" s="20">
        <f t="shared" si="10"/>
        <v>0.14358723329163764</v>
      </c>
      <c r="AH27" s="20">
        <f t="shared" si="11"/>
        <v>0.13117561726019381</v>
      </c>
      <c r="AI27" s="21">
        <f t="shared" si="12"/>
        <v>7.2117995231737383E-3</v>
      </c>
      <c r="AJ27" s="21">
        <f t="shared" si="29"/>
        <v>0.30727954016014569</v>
      </c>
      <c r="AK27" s="21">
        <f t="shared" si="30"/>
        <v>1.1187320212987335E-2</v>
      </c>
      <c r="AL27">
        <f t="shared" si="13"/>
        <v>8.6659806658935672</v>
      </c>
      <c r="AM27">
        <f t="shared" si="13"/>
        <v>8.3376965305116896E-4</v>
      </c>
      <c r="AN27">
        <f t="shared" si="13"/>
        <v>17.017678768912109</v>
      </c>
      <c r="AO27">
        <f t="shared" si="13"/>
        <v>6.9644074690743336</v>
      </c>
      <c r="AP27">
        <f t="shared" si="13"/>
        <v>7.6233679771176295</v>
      </c>
      <c r="AQ27">
        <f t="shared" si="13"/>
        <v>138.66164703922942</v>
      </c>
      <c r="AR27">
        <f t="shared" si="13"/>
        <v>3.2543657136392072</v>
      </c>
      <c r="AS27">
        <f t="shared" si="13"/>
        <v>89.386911339062436</v>
      </c>
      <c r="AT27">
        <f t="shared" si="14"/>
        <v>0.86169029103632966</v>
      </c>
      <c r="AU27">
        <f t="shared" si="15"/>
        <v>0.66719287519787585</v>
      </c>
      <c r="AV27">
        <f t="shared" si="16"/>
        <v>0.89209155205709223</v>
      </c>
      <c r="AW27">
        <f t="shared" si="17"/>
        <v>0.26939564057722459</v>
      </c>
      <c r="AX27">
        <f t="shared" si="18"/>
        <v>1.6106707302270706E-2</v>
      </c>
      <c r="AY27">
        <f t="shared" si="19"/>
        <v>0.77459729560377566</v>
      </c>
      <c r="AZ27">
        <f t="shared" si="31"/>
        <v>0.63881495386691589</v>
      </c>
      <c r="BA27">
        <f t="shared" si="32"/>
        <v>0.28627453375154571</v>
      </c>
      <c r="BB27">
        <f t="shared" si="33"/>
        <v>-0.15721342483210929</v>
      </c>
      <c r="BC27">
        <f t="shared" si="34"/>
        <v>-0.38774298321160688</v>
      </c>
      <c r="BD27">
        <f t="shared" si="20"/>
        <v>-0.2503685886755419</v>
      </c>
      <c r="BE27">
        <f t="shared" si="21"/>
        <v>5.062539784964732E-2</v>
      </c>
      <c r="BF27">
        <f t="shared" si="22"/>
        <v>-0.49137501292423308</v>
      </c>
      <c r="BG27">
        <f t="shared" si="23"/>
        <v>-0.15433432683159437</v>
      </c>
      <c r="BH27">
        <f t="shared" si="24"/>
        <v>-0.73468299113727253</v>
      </c>
      <c r="BI27">
        <f t="shared" si="25"/>
        <v>-0.73733400593167608</v>
      </c>
      <c r="BJ27">
        <f t="shared" si="26"/>
        <v>-0.13011059536635974</v>
      </c>
      <c r="BK27">
        <f t="shared" si="27"/>
        <v>4.6745068513718943E-2</v>
      </c>
      <c r="BL27">
        <f t="shared" si="28"/>
        <v>3.6136716254747368E-3</v>
      </c>
      <c r="BM27" s="11"/>
      <c r="BN27" s="11"/>
      <c r="BO27" s="11"/>
      <c r="BP27" s="11"/>
      <c r="BQ27" s="11"/>
    </row>
    <row r="28" spans="1:72">
      <c r="A28" t="s">
        <v>96</v>
      </c>
      <c r="B28" s="11" t="s">
        <v>97</v>
      </c>
      <c r="C28" s="11">
        <v>2013</v>
      </c>
      <c r="D28" s="14">
        <f>767185+3371881</f>
        <v>4139066</v>
      </c>
      <c r="E28" s="14">
        <f>D28+406631+311034+219007+268884</f>
        <v>5344622</v>
      </c>
      <c r="F28" s="14">
        <f>E28+18525+220734</f>
        <v>5583881</v>
      </c>
      <c r="G28" s="14">
        <f>M28-(276609+196409)</f>
        <v>1217499</v>
      </c>
      <c r="H28" s="14">
        <f>276609+196409</f>
        <v>473018</v>
      </c>
      <c r="I28" s="14">
        <v>1273199</v>
      </c>
      <c r="J28" s="14">
        <f>K28-(I28+8475980)</f>
        <v>2656546</v>
      </c>
      <c r="K28" s="15">
        <v>12405725</v>
      </c>
      <c r="L28" s="14">
        <v>14096242</v>
      </c>
      <c r="M28" s="15">
        <v>1690517</v>
      </c>
      <c r="N28" s="16">
        <f>(4698706-26453)*1000</f>
        <v>4672253000</v>
      </c>
      <c r="O28" s="17">
        <f>(4698706+968711+2704464+20040)*1000</f>
        <v>8391921000</v>
      </c>
      <c r="P28" s="16">
        <f>7823078*1000</f>
        <v>7823078000</v>
      </c>
      <c r="Q28" s="16">
        <f t="shared" si="0"/>
        <v>473018000</v>
      </c>
      <c r="R28" s="16">
        <f>568843*1000</f>
        <v>568843000</v>
      </c>
      <c r="S28" s="5">
        <v>1855525</v>
      </c>
      <c r="T28" s="18">
        <v>13565513464.135605</v>
      </c>
      <c r="U28" s="18" t="s">
        <v>98</v>
      </c>
      <c r="V28" s="18">
        <v>29031000</v>
      </c>
      <c r="W28" s="18">
        <v>88113758000</v>
      </c>
      <c r="X28" s="19">
        <f t="shared" si="1"/>
        <v>3.3996463241448249</v>
      </c>
      <c r="Y28" s="20">
        <f t="shared" si="2"/>
        <v>4.3898368705025632</v>
      </c>
      <c r="Z28" s="20">
        <f t="shared" si="3"/>
        <v>4.5863536643561922</v>
      </c>
      <c r="AA28" s="20">
        <f t="shared" si="4"/>
        <v>1.0727134511505574</v>
      </c>
      <c r="AB28" s="20">
        <f t="shared" si="5"/>
        <v>306.56714406973765</v>
      </c>
      <c r="AC28" s="20">
        <f t="shared" si="6"/>
        <v>0.27877962083795099</v>
      </c>
      <c r="AD28" s="20">
        <f t="shared" si="7"/>
        <v>3.3556319478624162E-2</v>
      </c>
      <c r="AE28" s="20">
        <f t="shared" si="8"/>
        <v>254.92407809110628</v>
      </c>
      <c r="AF28" s="20">
        <f t="shared" si="9"/>
        <v>5.3025238124561662E-2</v>
      </c>
      <c r="AG28" s="20">
        <f t="shared" si="10"/>
        <v>9.5239621944169031E-2</v>
      </c>
      <c r="AH28" s="20">
        <f t="shared" si="11"/>
        <v>8.878384235978222E-2</v>
      </c>
      <c r="AI28" s="21">
        <f t="shared" si="12"/>
        <v>3.294718175565727E-4</v>
      </c>
      <c r="AJ28" s="21">
        <f t="shared" si="29"/>
        <v>0.15395454435317132</v>
      </c>
      <c r="AK28" s="21" t="s">
        <v>99</v>
      </c>
      <c r="AL28">
        <f t="shared" si="13"/>
        <v>29.800646064208973</v>
      </c>
      <c r="AM28">
        <f t="shared" si="13"/>
        <v>3.9227365554799186E-3</v>
      </c>
      <c r="AN28">
        <f t="shared" si="13"/>
        <v>18.85894406831137</v>
      </c>
      <c r="AO28">
        <f t="shared" si="13"/>
        <v>10.49983168335355</v>
      </c>
      <c r="AP28">
        <f t="shared" si="13"/>
        <v>11.263310681550152</v>
      </c>
      <c r="AQ28">
        <f t="shared" si="13"/>
        <v>3035.1609658640764</v>
      </c>
      <c r="AR28">
        <f t="shared" si="13"/>
        <v>6.4954237252393314</v>
      </c>
      <c r="AS28" t="e">
        <f t="shared" si="13"/>
        <v>#VALUE!</v>
      </c>
      <c r="AT28">
        <f t="shared" si="14"/>
        <v>0.54310486459632368</v>
      </c>
      <c r="AU28">
        <f t="shared" si="15"/>
        <v>0.60556279878209596</v>
      </c>
      <c r="AV28">
        <f t="shared" si="16"/>
        <v>0.53598809467824826</v>
      </c>
      <c r="AW28">
        <f t="shared" si="17"/>
        <v>7.0073693944191343E-2</v>
      </c>
      <c r="AX28">
        <f t="shared" si="18"/>
        <v>-0.12826024412973561</v>
      </c>
      <c r="AY28">
        <f t="shared" si="19"/>
        <v>0.63033866748202383</v>
      </c>
      <c r="AZ28">
        <f t="shared" si="31"/>
        <v>4.3969830504028069</v>
      </c>
      <c r="BA28">
        <f t="shared" si="32"/>
        <v>5.067060443412843</v>
      </c>
      <c r="BB28">
        <f t="shared" si="33"/>
        <v>0.16798684066337641</v>
      </c>
      <c r="BC28">
        <f t="shared" si="34"/>
        <v>1.5400204985652186</v>
      </c>
      <c r="BD28">
        <f t="shared" si="20"/>
        <v>1.7025927221412194</v>
      </c>
      <c r="BE28">
        <f t="shared" si="21"/>
        <v>6.5829047110967505</v>
      </c>
      <c r="BF28">
        <f t="shared" si="22"/>
        <v>1.6732554414546112</v>
      </c>
      <c r="BG28" t="e">
        <f t="shared" si="23"/>
        <v>#VALUE!</v>
      </c>
      <c r="BH28">
        <f t="shared" si="24"/>
        <v>-0.94253917148110233</v>
      </c>
      <c r="BI28">
        <f t="shared" si="25"/>
        <v>-1.1813765331140229</v>
      </c>
      <c r="BJ28">
        <f t="shared" si="26"/>
        <v>-0.40536798634474558</v>
      </c>
      <c r="BK28">
        <f t="shared" si="27"/>
        <v>-0.84705133888325501</v>
      </c>
      <c r="BL28">
        <f t="shared" si="28"/>
        <v>-1.1816530705568475</v>
      </c>
    </row>
    <row r="29" spans="1:72">
      <c r="A29" t="s">
        <v>100</v>
      </c>
      <c r="B29" s="11" t="s">
        <v>101</v>
      </c>
      <c r="C29" s="11">
        <v>2013</v>
      </c>
      <c r="D29" s="14">
        <f>1665370+1200377</f>
        <v>2865747</v>
      </c>
      <c r="E29" s="14">
        <f>D29+72879+1088736+393877+32193+527706+55482+16</f>
        <v>5036636</v>
      </c>
      <c r="F29" s="14">
        <f>E29+2426+16500+28892+2310+46984+15</f>
        <v>5133763</v>
      </c>
      <c r="G29" s="14">
        <f>896009+65094+117508+37813+21022+17871+271387+88208</f>
        <v>1514912</v>
      </c>
      <c r="H29" s="14">
        <f>M29-G29</f>
        <v>4267618</v>
      </c>
      <c r="I29" s="14">
        <v>-363623</v>
      </c>
      <c r="J29" s="14">
        <f>K29-(I29+4361157)</f>
        <v>1301660</v>
      </c>
      <c r="K29" s="15">
        <v>5299194</v>
      </c>
      <c r="L29" s="14">
        <v>11081724</v>
      </c>
      <c r="M29" s="15">
        <v>5782530</v>
      </c>
      <c r="N29" s="16">
        <f>(869644+925699+386928+252195+57325+2693+430333)*1000</f>
        <v>2924817000</v>
      </c>
      <c r="O29" s="17">
        <f>(4541563+884753+3640272+56003)*1000</f>
        <v>9122591000</v>
      </c>
      <c r="P29" s="16">
        <f>8472473*1000</f>
        <v>8472473000</v>
      </c>
      <c r="Q29" s="16">
        <f t="shared" si="0"/>
        <v>4267618000</v>
      </c>
      <c r="R29" s="16">
        <f>650118*1000</f>
        <v>650118000</v>
      </c>
      <c r="S29" s="5">
        <v>2758931</v>
      </c>
      <c r="T29" s="18">
        <v>51781977726.792084</v>
      </c>
      <c r="U29" s="18">
        <v>947000000</v>
      </c>
      <c r="V29" s="18">
        <v>3160122000</v>
      </c>
      <c r="W29" s="18">
        <v>109471162000</v>
      </c>
      <c r="X29" s="19">
        <f t="shared" si="1"/>
        <v>1.8916920586806363</v>
      </c>
      <c r="Y29" s="20">
        <f t="shared" si="2"/>
        <v>3.3247053294184745</v>
      </c>
      <c r="Z29" s="20">
        <f t="shared" si="3"/>
        <v>3.3888192845525023</v>
      </c>
      <c r="AA29" s="20">
        <f t="shared" si="4"/>
        <v>1.0767329680484081</v>
      </c>
      <c r="AB29" s="20">
        <f t="shared" si="5"/>
        <v>235.64126830283178</v>
      </c>
      <c r="AC29" s="20">
        <f t="shared" si="6"/>
        <v>8.4647208322459574E-2</v>
      </c>
      <c r="AD29" s="20">
        <f t="shared" si="7"/>
        <v>0.38510415888358163</v>
      </c>
      <c r="AE29" s="20">
        <f t="shared" si="8"/>
        <v>1546.8375251138937</v>
      </c>
      <c r="AF29" s="20">
        <f t="shared" si="9"/>
        <v>2.6717693925638608E-2</v>
      </c>
      <c r="AG29" s="20">
        <f t="shared" si="10"/>
        <v>8.3333280046849229E-2</v>
      </c>
      <c r="AH29" s="20">
        <f t="shared" si="11"/>
        <v>7.7394565337673124E-2</v>
      </c>
      <c r="AI29" s="21">
        <f t="shared" si="12"/>
        <v>2.886716412126876E-2</v>
      </c>
      <c r="AJ29" s="21">
        <f t="shared" si="29"/>
        <v>0.47301934848185939</v>
      </c>
      <c r="AK29" s="21">
        <f t="shared" ref="AK29:AK51" si="35">U29/$W29</f>
        <v>8.6506800759089415E-3</v>
      </c>
      <c r="AL29">
        <f t="shared" si="13"/>
        <v>2.5967000795291426</v>
      </c>
      <c r="AM29">
        <f t="shared" si="13"/>
        <v>6.4648030821877684E-4</v>
      </c>
      <c r="AN29">
        <f t="shared" si="13"/>
        <v>37.428379963601138</v>
      </c>
      <c r="AO29">
        <f t="shared" si="13"/>
        <v>12.000007673258617</v>
      </c>
      <c r="AP29">
        <f t="shared" si="13"/>
        <v>12.920803878631423</v>
      </c>
      <c r="AQ29">
        <f t="shared" si="13"/>
        <v>34.641435362305636</v>
      </c>
      <c r="AR29">
        <f t="shared" si="13"/>
        <v>2.114078426621381</v>
      </c>
      <c r="AS29">
        <f t="shared" si="13"/>
        <v>115.59784794086589</v>
      </c>
      <c r="AT29">
        <f t="shared" si="14"/>
        <v>-0.15544274904476729</v>
      </c>
      <c r="AU29">
        <f t="shared" si="15"/>
        <v>0.13386067512742728</v>
      </c>
      <c r="AV29">
        <f t="shared" si="16"/>
        <v>9.6606067477409546E-3</v>
      </c>
      <c r="AW29">
        <f t="shared" si="17"/>
        <v>0.10664903603621222</v>
      </c>
      <c r="AX29">
        <f t="shared" si="18"/>
        <v>-0.18304662018079276</v>
      </c>
      <c r="AY29">
        <f t="shared" si="19"/>
        <v>0.14615255090060231</v>
      </c>
      <c r="AZ29">
        <f t="shared" si="31"/>
        <v>-0.44042506430803507</v>
      </c>
      <c r="BA29">
        <f t="shared" si="32"/>
        <v>-3.5926901738324718E-3</v>
      </c>
      <c r="BB29">
        <f t="shared" si="33"/>
        <v>3.4476801500522378</v>
      </c>
      <c r="BC29">
        <f t="shared" si="34"/>
        <v>2.3580226149440562</v>
      </c>
      <c r="BD29">
        <f t="shared" si="20"/>
        <v>2.5918979529350552</v>
      </c>
      <c r="BE29">
        <f t="shared" si="21"/>
        <v>-0.18396436106403091</v>
      </c>
      <c r="BF29">
        <f t="shared" si="22"/>
        <v>-1.2529474930790101</v>
      </c>
      <c r="BG29">
        <f t="shared" si="23"/>
        <v>-0.14905628196028978</v>
      </c>
      <c r="BH29">
        <f t="shared" si="24"/>
        <v>-4.965444492727631E-2</v>
      </c>
      <c r="BI29">
        <f t="shared" si="25"/>
        <v>-0.57396930466059104</v>
      </c>
      <c r="BJ29">
        <f t="shared" si="26"/>
        <v>-1.6675460365373822</v>
      </c>
      <c r="BK29">
        <f t="shared" si="27"/>
        <v>-1.0671624326161555</v>
      </c>
      <c r="BL29">
        <f t="shared" si="28"/>
        <v>-1.500095299114637</v>
      </c>
    </row>
    <row r="30" spans="1:72">
      <c r="A30" t="s">
        <v>102</v>
      </c>
      <c r="B30" s="11" t="s">
        <v>103</v>
      </c>
      <c r="C30" s="11">
        <v>2013</v>
      </c>
      <c r="D30" s="14">
        <f>457564</f>
        <v>457564</v>
      </c>
      <c r="E30" s="14">
        <f>D30+557680</f>
        <v>1015244</v>
      </c>
      <c r="F30" s="14">
        <v>1835366</v>
      </c>
      <c r="G30" s="14">
        <v>702863</v>
      </c>
      <c r="H30" s="14">
        <v>2417581</v>
      </c>
      <c r="I30" s="14">
        <v>-682967</v>
      </c>
      <c r="J30" s="14">
        <f>K30-(I30+2455478)</f>
        <v>963088</v>
      </c>
      <c r="K30" s="15">
        <v>2735599</v>
      </c>
      <c r="L30" s="14">
        <v>5856043</v>
      </c>
      <c r="M30" s="15">
        <v>3120444</v>
      </c>
      <c r="N30" s="16">
        <f>(2072236-90700)*1000</f>
        <v>1981536000</v>
      </c>
      <c r="O30" s="17">
        <f>(2072236+2206542+1627953+189122)*1000</f>
        <v>6095853000</v>
      </c>
      <c r="P30" s="16">
        <f>5838163*1000</f>
        <v>5838163000</v>
      </c>
      <c r="Q30" s="16">
        <f t="shared" si="0"/>
        <v>2417581000</v>
      </c>
      <c r="R30" s="16">
        <f>257690*1000</f>
        <v>257690000</v>
      </c>
      <c r="S30" s="5">
        <v>1320718</v>
      </c>
      <c r="T30" s="18">
        <v>13947866141.063065</v>
      </c>
      <c r="U30" s="18">
        <v>1900000000</v>
      </c>
      <c r="V30" s="18">
        <v>1649705000</v>
      </c>
      <c r="W30" s="18">
        <v>67513196000</v>
      </c>
      <c r="X30" s="19">
        <f t="shared" si="1"/>
        <v>0.65100026605469341</v>
      </c>
      <c r="Y30" s="20">
        <f t="shared" si="2"/>
        <v>1.4444408085217175</v>
      </c>
      <c r="Z30" s="20">
        <f t="shared" si="3"/>
        <v>2.6112713288364873</v>
      </c>
      <c r="AA30" s="20">
        <f t="shared" si="4"/>
        <v>1.0441388840976178</v>
      </c>
      <c r="AB30" s="20">
        <f t="shared" si="5"/>
        <v>195.11356701430586</v>
      </c>
      <c r="AC30" s="20">
        <f t="shared" si="6"/>
        <v>4.7834518974672828E-2</v>
      </c>
      <c r="AD30" s="20">
        <f t="shared" si="7"/>
        <v>0.41283525411271743</v>
      </c>
      <c r="AE30" s="20">
        <f t="shared" si="8"/>
        <v>1830.5050737553361</v>
      </c>
      <c r="AF30" s="20">
        <f t="shared" si="9"/>
        <v>2.9350351003972618E-2</v>
      </c>
      <c r="AG30" s="20">
        <f t="shared" si="10"/>
        <v>9.0291281722168798E-2</v>
      </c>
      <c r="AH30" s="20">
        <f t="shared" si="11"/>
        <v>8.6474398279115683E-2</v>
      </c>
      <c r="AI30" s="21">
        <f t="shared" si="12"/>
        <v>2.4435297063999162E-2</v>
      </c>
      <c r="AJ30" s="21">
        <f t="shared" si="29"/>
        <v>0.20659466544974503</v>
      </c>
      <c r="AK30" s="21">
        <f t="shared" si="35"/>
        <v>2.814264636501581E-2</v>
      </c>
      <c r="AL30">
        <f t="shared" si="13"/>
        <v>2.4222737521514275</v>
      </c>
      <c r="AM30">
        <f t="shared" si="13"/>
        <v>5.4629731123796883E-4</v>
      </c>
      <c r="AN30">
        <f t="shared" si="13"/>
        <v>34.071142790239492</v>
      </c>
      <c r="AO30">
        <f t="shared" si="13"/>
        <v>11.075266414724897</v>
      </c>
      <c r="AP30">
        <f t="shared" si="13"/>
        <v>11.564116315354676</v>
      </c>
      <c r="AQ30">
        <f t="shared" si="13"/>
        <v>40.924405272457804</v>
      </c>
      <c r="AR30">
        <f t="shared" si="13"/>
        <v>4.840396037443929</v>
      </c>
      <c r="AS30">
        <f t="shared" si="13"/>
        <v>35.53326105263158</v>
      </c>
      <c r="AT30">
        <f t="shared" si="14"/>
        <v>-0.73018318438293839</v>
      </c>
      <c r="AU30">
        <f t="shared" si="15"/>
        <v>-0.69882968594930717</v>
      </c>
      <c r="AV30">
        <f t="shared" si="16"/>
        <v>-0.33207894510094871</v>
      </c>
      <c r="AW30">
        <f t="shared" si="17"/>
        <v>-0.18993878806614395</v>
      </c>
      <c r="AX30">
        <f t="shared" si="18"/>
        <v>-0.21435206208432606</v>
      </c>
      <c r="AY30">
        <f t="shared" si="19"/>
        <v>5.4337933932398774E-2</v>
      </c>
      <c r="AZ30">
        <f t="shared" si="31"/>
        <v>-0.47144156948531146</v>
      </c>
      <c r="BA30">
        <f t="shared" si="32"/>
        <v>-0.15864564978207638</v>
      </c>
      <c r="BB30">
        <f t="shared" si="33"/>
        <v>2.8547322351239934</v>
      </c>
      <c r="BC30">
        <f t="shared" si="34"/>
        <v>1.853788237328613</v>
      </c>
      <c r="BD30">
        <f t="shared" si="20"/>
        <v>1.863985857308037</v>
      </c>
      <c r="BE30">
        <f t="shared" si="21"/>
        <v>-0.16979480331440491</v>
      </c>
      <c r="BF30">
        <f t="shared" si="22"/>
        <v>0.56789931298672769</v>
      </c>
      <c r="BG30">
        <f t="shared" si="23"/>
        <v>-0.1651787307158786</v>
      </c>
      <c r="BH30">
        <f t="shared" si="24"/>
        <v>2.0778846378441379E-2</v>
      </c>
      <c r="BI30">
        <f t="shared" si="25"/>
        <v>-0.44059990602204707</v>
      </c>
      <c r="BJ30">
        <f t="shared" si="26"/>
        <v>-1.5412369461551074</v>
      </c>
      <c r="BK30">
        <f t="shared" si="27"/>
        <v>-0.93853070238718372</v>
      </c>
      <c r="BL30">
        <f t="shared" si="28"/>
        <v>-1.2462247302284339</v>
      </c>
    </row>
    <row r="31" spans="1:72" s="11" customFormat="1">
      <c r="A31" s="11" t="s">
        <v>104</v>
      </c>
      <c r="B31" s="11" t="s">
        <v>105</v>
      </c>
      <c r="C31" s="11">
        <v>2013</v>
      </c>
      <c r="D31" s="39">
        <f>181185766+4592350768</f>
        <v>4773536534</v>
      </c>
      <c r="E31" s="39">
        <f>D31+1045299278+4103662844+1727248933+817085029</f>
        <v>12466832618</v>
      </c>
      <c r="F31" s="39">
        <v>12810688051</v>
      </c>
      <c r="G31" s="39">
        <v>6467966409</v>
      </c>
      <c r="H31" s="39">
        <v>76786595926</v>
      </c>
      <c r="I31" s="39">
        <v>-57013375363</v>
      </c>
      <c r="J31" s="39">
        <f>K31-(I31+7287735232)</f>
        <v>4132061221</v>
      </c>
      <c r="K31" s="39">
        <v>-45593578910</v>
      </c>
      <c r="L31" s="39">
        <v>37660983425</v>
      </c>
      <c r="M31" s="17">
        <v>83254562335</v>
      </c>
      <c r="N31" s="17">
        <f>12108615149+8434791189+2371400448+5398799431</f>
        <v>28313606217</v>
      </c>
      <c r="O31" s="17">
        <f>(29632265672+10957956998+15901210846+349479559)</f>
        <v>56840913075</v>
      </c>
      <c r="P31" s="17">
        <f>61153763018</f>
        <v>61153763018</v>
      </c>
      <c r="Q31" s="17">
        <f>H31</f>
        <v>76786595926</v>
      </c>
      <c r="R31" s="17">
        <f>-4312849943</f>
        <v>-4312849943</v>
      </c>
      <c r="S31" s="40">
        <v>8864590</v>
      </c>
      <c r="T31" s="41">
        <v>135463574843.75473</v>
      </c>
      <c r="U31" s="41">
        <v>66803700000</v>
      </c>
      <c r="V31" s="41">
        <v>40386343000</v>
      </c>
      <c r="W31" s="41">
        <v>492896761000</v>
      </c>
      <c r="X31" s="19">
        <f t="shared" si="1"/>
        <v>0.73802741575122488</v>
      </c>
      <c r="Y31" s="20">
        <f t="shared" si="2"/>
        <v>1.9274733091768597</v>
      </c>
      <c r="Z31" s="20">
        <f t="shared" si="3"/>
        <v>1.9806361444880534</v>
      </c>
      <c r="AA31" s="20">
        <f t="shared" si="4"/>
        <v>0.92947531386203408</v>
      </c>
      <c r="AB31" s="20">
        <f t="shared" si="5"/>
        <v>-486.52559712293521</v>
      </c>
      <c r="AC31" s="20">
        <f t="shared" si="6"/>
        <v>-1.404140554303648</v>
      </c>
      <c r="AD31" s="20">
        <f t="shared" si="7"/>
        <v>2.0388898255648775</v>
      </c>
      <c r="AE31" s="20">
        <f t="shared" si="8"/>
        <v>8662.1711693377802</v>
      </c>
      <c r="AF31" s="20">
        <f t="shared" si="9"/>
        <v>5.7443279114995034E-2</v>
      </c>
      <c r="AG31" s="20">
        <f t="shared" si="10"/>
        <v>0.11532011888185242</v>
      </c>
      <c r="AH31" s="20">
        <f t="shared" si="11"/>
        <v>0.12407012554501246</v>
      </c>
      <c r="AI31" s="21">
        <f t="shared" si="12"/>
        <v>8.1936718184277127E-2</v>
      </c>
      <c r="AJ31" s="21">
        <f t="shared" si="29"/>
        <v>0.27483153788416703</v>
      </c>
      <c r="AK31" s="21">
        <f t="shared" si="35"/>
        <v>0.13553284437184607</v>
      </c>
      <c r="AL31">
        <f t="shared" si="13"/>
        <v>0.49046298993764831</v>
      </c>
      <c r="AM31">
        <f t="shared" si="13"/>
        <v>1.1544449774206547E-4</v>
      </c>
      <c r="AN31">
        <f t="shared" si="13"/>
        <v>17.408476942935511</v>
      </c>
      <c r="AO31">
        <f t="shared" si="13"/>
        <v>8.6715137800414368</v>
      </c>
      <c r="AP31">
        <f t="shared" si="13"/>
        <v>8.0599579923629676</v>
      </c>
      <c r="AQ31">
        <f t="shared" si="13"/>
        <v>12.204540554711775</v>
      </c>
      <c r="AR31">
        <f t="shared" si="13"/>
        <v>3.6385926000292912</v>
      </c>
      <c r="AS31">
        <f t="shared" si="13"/>
        <v>7.3782853494641758</v>
      </c>
      <c r="AT31">
        <f t="shared" si="14"/>
        <v>-0.68986856136366237</v>
      </c>
      <c r="AU31">
        <f t="shared" si="15"/>
        <v>-0.48491483359092802</v>
      </c>
      <c r="AV31">
        <f t="shared" si="16"/>
        <v>-0.60924896875664947</v>
      </c>
      <c r="AW31">
        <f t="shared" si="17"/>
        <v>-1.2333127589782749</v>
      </c>
      <c r="AX31">
        <f t="shared" si="18"/>
        <v>-0.74088119089314042</v>
      </c>
      <c r="AY31">
        <f t="shared" si="19"/>
        <v>-3.5670365856242201</v>
      </c>
      <c r="AZ31">
        <f t="shared" si="31"/>
        <v>-0.81495633247158472</v>
      </c>
      <c r="BA31">
        <f t="shared" si="32"/>
        <v>-0.82547541033392269</v>
      </c>
      <c r="BB31">
        <f t="shared" si="33"/>
        <v>-8.8191502793484242E-2</v>
      </c>
      <c r="BC31">
        <f t="shared" si="34"/>
        <v>0.54309218856255759</v>
      </c>
      <c r="BD31">
        <f t="shared" si="20"/>
        <v>-1.6122206878173794E-2</v>
      </c>
      <c r="BE31">
        <f t="shared" si="21"/>
        <v>-0.2345647747608689</v>
      </c>
      <c r="BF31">
        <f t="shared" si="22"/>
        <v>-0.23475843380273886</v>
      </c>
      <c r="BG31">
        <f t="shared" si="23"/>
        <v>-0.17084824292634967</v>
      </c>
      <c r="BH31">
        <f t="shared" si="24"/>
        <v>4.1507410553630386</v>
      </c>
      <c r="BI31">
        <f t="shared" si="25"/>
        <v>2.7713825827427891</v>
      </c>
      <c r="BJ31">
        <f t="shared" si="26"/>
        <v>-0.19340010668212709</v>
      </c>
      <c r="BK31">
        <f t="shared" si="27"/>
        <v>-0.47582563565961328</v>
      </c>
      <c r="BL31">
        <f t="shared" si="28"/>
        <v>-0.1950546558187416</v>
      </c>
    </row>
    <row r="32" spans="1:72" s="11" customFormat="1">
      <c r="A32" s="11" t="s">
        <v>106</v>
      </c>
      <c r="B32" s="11" t="s">
        <v>107</v>
      </c>
      <c r="C32" s="11">
        <v>2012</v>
      </c>
      <c r="D32" s="39">
        <f>4125367000/0.986</f>
        <v>4183942190.6693711</v>
      </c>
      <c r="E32" s="39">
        <f>6295082000/0.986</f>
        <v>6384464503.0425968</v>
      </c>
      <c r="F32" s="39">
        <f>6498459000/0.986</f>
        <v>6590729208.9249496</v>
      </c>
      <c r="G32" s="39">
        <f>2012035000/0.986</f>
        <v>2040603448.275862</v>
      </c>
      <c r="H32" s="39">
        <f>4323972000/0.986</f>
        <v>4385367139.9594316</v>
      </c>
      <c r="I32" s="39">
        <f>1771260000/0.986</f>
        <v>1796409736.3083165</v>
      </c>
      <c r="J32" s="39">
        <f>7014293000/0.986</f>
        <v>7113887423.935091</v>
      </c>
      <c r="K32" s="39">
        <f>16813681000/0.986</f>
        <v>17052414807.302231</v>
      </c>
      <c r="L32" s="39">
        <f>23149688000/0.986</f>
        <v>23478385395.537525</v>
      </c>
      <c r="M32" s="17">
        <f>6336007000/0.986</f>
        <v>6425970588.2352943</v>
      </c>
      <c r="N32" s="17">
        <f>5321538000/0.986</f>
        <v>5397097363.0831642</v>
      </c>
      <c r="O32" s="17">
        <f>15965126000/0.986</f>
        <v>16191811359.026369</v>
      </c>
      <c r="P32" s="17">
        <f>16007008000/0.986</f>
        <v>16234288032.454361</v>
      </c>
      <c r="Q32" s="17">
        <f>H32</f>
        <v>4385367139.9594316</v>
      </c>
      <c r="R32" s="42">
        <f>-41882000/0.986</f>
        <v>-42476673.427991889</v>
      </c>
      <c r="S32" s="40">
        <v>2085538</v>
      </c>
      <c r="T32" s="41">
        <v>40214994317.215134</v>
      </c>
      <c r="U32" s="41">
        <v>3687626000</v>
      </c>
      <c r="V32" s="41">
        <v>3660813000</v>
      </c>
      <c r="W32" s="41">
        <v>74996363000</v>
      </c>
      <c r="X32" s="19">
        <f t="shared" si="1"/>
        <v>2.0503455456788773</v>
      </c>
      <c r="Y32" s="20">
        <f t="shared" si="2"/>
        <v>3.1287139637232952</v>
      </c>
      <c r="Z32" s="20">
        <f t="shared" si="3"/>
        <v>3.2297942133213393</v>
      </c>
      <c r="AA32" s="20">
        <f t="shared" si="4"/>
        <v>0.99738352101779426</v>
      </c>
      <c r="AB32" s="20">
        <f t="shared" si="5"/>
        <v>-20.367249807000348</v>
      </c>
      <c r="AC32" s="20">
        <f t="shared" si="6"/>
        <v>0.37951064394474782</v>
      </c>
      <c r="AD32" s="20">
        <f t="shared" si="7"/>
        <v>0.18678316528499217</v>
      </c>
      <c r="AE32" s="20">
        <f t="shared" si="8"/>
        <v>2102.7510119496415</v>
      </c>
      <c r="AF32" s="20">
        <f t="shared" si="9"/>
        <v>7.1964787986894305E-2</v>
      </c>
      <c r="AG32" s="20">
        <f t="shared" si="10"/>
        <v>0.21590128789347252</v>
      </c>
      <c r="AH32" s="20">
        <f t="shared" si="11"/>
        <v>0.21646767100498407</v>
      </c>
      <c r="AI32" s="21">
        <f t="shared" si="12"/>
        <v>4.88132071151237E-2</v>
      </c>
      <c r="AJ32" s="21">
        <f t="shared" si="29"/>
        <v>0.53622592761218479</v>
      </c>
      <c r="AK32" s="21">
        <f t="shared" si="35"/>
        <v>4.9170731119321083E-2</v>
      </c>
      <c r="AL32">
        <f t="shared" si="13"/>
        <v>5.3538015509813661</v>
      </c>
      <c r="AM32">
        <f t="shared" si="13"/>
        <v>4.7556748008544003E-4</v>
      </c>
      <c r="AN32">
        <f t="shared" si="13"/>
        <v>13.895684653196124</v>
      </c>
      <c r="AO32">
        <f t="shared" si="13"/>
        <v>4.6317463399913033</v>
      </c>
      <c r="AP32">
        <f t="shared" si="13"/>
        <v>4.6196274730418079</v>
      </c>
      <c r="AQ32">
        <f t="shared" si="13"/>
        <v>20.486258926637337</v>
      </c>
      <c r="AR32">
        <f t="shared" si="13"/>
        <v>1.8648855799513502</v>
      </c>
      <c r="AS32">
        <f t="shared" si="13"/>
        <v>20.337301830500163</v>
      </c>
      <c r="AT32">
        <f t="shared" si="14"/>
        <v>-8.1947804750588979E-2</v>
      </c>
      <c r="AU32">
        <f t="shared" si="15"/>
        <v>4.7064312565203388E-2</v>
      </c>
      <c r="AV32">
        <f t="shared" si="16"/>
        <v>-6.0232389788015019E-2</v>
      </c>
      <c r="AW32">
        <f t="shared" si="17"/>
        <v>-0.61538628405641715</v>
      </c>
      <c r="AX32">
        <f t="shared" si="18"/>
        <v>-0.38079925691289479</v>
      </c>
      <c r="AY32">
        <f t="shared" si="19"/>
        <v>0.88157215428300528</v>
      </c>
      <c r="AZ32">
        <f t="shared" si="31"/>
        <v>4.9842966609067112E-2</v>
      </c>
      <c r="BA32">
        <f t="shared" si="32"/>
        <v>-0.26811402249298538</v>
      </c>
      <c r="BB32">
        <f t="shared" si="33"/>
        <v>-0.70861322345832023</v>
      </c>
      <c r="BC32">
        <f t="shared" si="34"/>
        <v>-1.6596749120150507</v>
      </c>
      <c r="BD32">
        <f t="shared" si="20"/>
        <v>-1.8619843388492445</v>
      </c>
      <c r="BE32">
        <f t="shared" si="21"/>
        <v>-0.2158875745808197</v>
      </c>
      <c r="BF32">
        <f t="shared" si="22"/>
        <v>-1.4193778448297945</v>
      </c>
      <c r="BG32">
        <f t="shared" si="23"/>
        <v>-0.16823871120628983</v>
      </c>
      <c r="BH32">
        <f t="shared" si="24"/>
        <v>-0.55336337523641388</v>
      </c>
      <c r="BI32">
        <f t="shared" si="25"/>
        <v>-0.31260050237980713</v>
      </c>
      <c r="BJ32">
        <f t="shared" si="26"/>
        <v>0.50330991745380937</v>
      </c>
      <c r="BK32">
        <f t="shared" si="27"/>
        <v>1.3836061957969541</v>
      </c>
      <c r="BL32">
        <f t="shared" si="28"/>
        <v>2.3883648388889518</v>
      </c>
    </row>
    <row r="33" spans="1:64" s="11" customFormat="1">
      <c r="A33" s="11" t="s">
        <v>108</v>
      </c>
      <c r="B33" s="11" t="s">
        <v>109</v>
      </c>
      <c r="C33" s="11">
        <v>2013</v>
      </c>
      <c r="D33" s="15">
        <f>16176*1000</f>
        <v>16176000</v>
      </c>
      <c r="E33" s="15">
        <f>D33+(13905+6185+7039)*1000</f>
        <v>43305000</v>
      </c>
      <c r="F33" s="15">
        <f>E33+(738+1020)*1000</f>
        <v>45063000</v>
      </c>
      <c r="G33" s="15">
        <f>(9430+1710+8126+6322+643+261+1047)*1000</f>
        <v>27539000</v>
      </c>
      <c r="H33" s="15">
        <f>M33-G33</f>
        <v>90340000</v>
      </c>
      <c r="I33" s="15">
        <f>-47914*1000</f>
        <v>-47914000</v>
      </c>
      <c r="J33" s="15">
        <f>K33-(I33+68552*1000)</f>
        <v>4711000</v>
      </c>
      <c r="K33" s="15">
        <f>25349*1000</f>
        <v>25349000</v>
      </c>
      <c r="L33" s="15">
        <f>142972*1000</f>
        <v>142972000</v>
      </c>
      <c r="M33" s="17">
        <f>117879*1000</f>
        <v>117879000</v>
      </c>
      <c r="N33" s="17">
        <f>(41975+14593+8285+3078)*1000000</f>
        <v>67931000000</v>
      </c>
      <c r="O33" s="17">
        <f>(70473+27264+57403+1434)*1000000</f>
        <v>156574000000</v>
      </c>
      <c r="P33" s="17">
        <f>156900*1000000</f>
        <v>156900000000</v>
      </c>
      <c r="Q33" s="17">
        <f>H33*1000</f>
        <v>90340000000</v>
      </c>
      <c r="R33" s="17">
        <f>-326*1000000</f>
        <v>-326000000</v>
      </c>
      <c r="S33" s="40">
        <v>19570261</v>
      </c>
      <c r="T33" s="41">
        <v>251249776361.03046</v>
      </c>
      <c r="U33" s="41">
        <v>67714000000</v>
      </c>
      <c r="V33" s="41">
        <v>57645000000</v>
      </c>
      <c r="W33" s="41">
        <v>1070235797000</v>
      </c>
      <c r="X33" s="19">
        <f t="shared" si="1"/>
        <v>0.58738516285994413</v>
      </c>
      <c r="Y33" s="20">
        <f t="shared" si="2"/>
        <v>1.572497185809216</v>
      </c>
      <c r="Z33" s="20">
        <f t="shared" si="3"/>
        <v>1.6363339264316061</v>
      </c>
      <c r="AA33" s="20">
        <f t="shared" si="4"/>
        <v>0.99792224346717651</v>
      </c>
      <c r="AB33" s="20">
        <f t="shared" si="5"/>
        <v>-16.657928067489749</v>
      </c>
      <c r="AC33" s="20">
        <f t="shared" si="6"/>
        <v>-0.30217804884872562</v>
      </c>
      <c r="AD33" s="20">
        <f t="shared" si="7"/>
        <v>0.63187197493215452</v>
      </c>
      <c r="AE33" s="20">
        <f t="shared" si="8"/>
        <v>4616.1877963712386</v>
      </c>
      <c r="AF33" s="20">
        <f t="shared" si="9"/>
        <v>6.3472928293389907E-2</v>
      </c>
      <c r="AG33" s="20">
        <f t="shared" si="10"/>
        <v>0.14629860114835982</v>
      </c>
      <c r="AH33" s="20">
        <f t="shared" si="11"/>
        <v>0.1466032069192692</v>
      </c>
      <c r="AI33" s="21">
        <f t="shared" si="12"/>
        <v>5.3861962159727682E-2</v>
      </c>
      <c r="AJ33" s="21">
        <f t="shared" si="29"/>
        <v>0.23476114054988056</v>
      </c>
      <c r="AK33" s="21">
        <f t="shared" si="35"/>
        <v>6.3270169237293783E-2</v>
      </c>
      <c r="AL33">
        <f t="shared" si="13"/>
        <v>1.5825990701793227</v>
      </c>
      <c r="AM33">
        <f t="shared" si="13"/>
        <v>2.166289683418198E-4</v>
      </c>
      <c r="AN33">
        <f t="shared" si="13"/>
        <v>15.754748156217339</v>
      </c>
      <c r="AO33">
        <f t="shared" si="13"/>
        <v>6.8353353494194442</v>
      </c>
      <c r="AP33">
        <f t="shared" si="13"/>
        <v>6.8211331867431486</v>
      </c>
      <c r="AQ33">
        <f t="shared" si="13"/>
        <v>18.565977916558246</v>
      </c>
      <c r="AR33">
        <f t="shared" si="13"/>
        <v>4.2596487547202315</v>
      </c>
      <c r="AS33">
        <f t="shared" ref="AS33:AS65" si="36">1/AK33</f>
        <v>15.805236686652687</v>
      </c>
      <c r="AT33">
        <f t="shared" si="14"/>
        <v>-0.75965236627125288</v>
      </c>
      <c r="AU33">
        <f t="shared" si="15"/>
        <v>-0.64211888283802476</v>
      </c>
      <c r="AV33">
        <f t="shared" si="16"/>
        <v>-0.76057299299740488</v>
      </c>
      <c r="AW33">
        <f t="shared" si="17"/>
        <v>-0.61048421289225741</v>
      </c>
      <c r="AX33">
        <f t="shared" si="18"/>
        <v>-0.37793400789738651</v>
      </c>
      <c r="AY33">
        <f t="shared" si="19"/>
        <v>-0.81862925260364239</v>
      </c>
      <c r="AZ33">
        <f t="shared" si="31"/>
        <v>-0.62075259673762906</v>
      </c>
      <c r="BA33">
        <f t="shared" si="32"/>
        <v>-0.66887247265288319</v>
      </c>
      <c r="BB33">
        <f t="shared" si="33"/>
        <v>-0.38026947801722838</v>
      </c>
      <c r="BC33">
        <f t="shared" si="34"/>
        <v>-0.45812223721492112</v>
      </c>
      <c r="BD33">
        <f t="shared" si="20"/>
        <v>-0.68079665719559679</v>
      </c>
      <c r="BE33">
        <f t="shared" si="21"/>
        <v>-0.22021825466634104</v>
      </c>
      <c r="BF33">
        <f t="shared" si="22"/>
        <v>0.18003113846403868</v>
      </c>
      <c r="BG33">
        <f t="shared" si="23"/>
        <v>-0.16915132427129784</v>
      </c>
      <c r="BH33">
        <f t="shared" si="24"/>
        <v>0.57710296688831653</v>
      </c>
      <c r="BI33">
        <f t="shared" si="25"/>
        <v>0.8691192750841239</v>
      </c>
      <c r="BJ33">
        <f t="shared" si="26"/>
        <v>9.5889185613108274E-2</v>
      </c>
      <c r="BK33">
        <f t="shared" si="27"/>
        <v>9.6869796125454571E-2</v>
      </c>
      <c r="BL33">
        <f t="shared" si="28"/>
        <v>0.43496642762344168</v>
      </c>
    </row>
    <row r="34" spans="1:64" s="11" customFormat="1">
      <c r="A34" s="11" t="s">
        <v>110</v>
      </c>
      <c r="B34" s="11" t="s">
        <v>111</v>
      </c>
      <c r="C34" s="11">
        <v>2013</v>
      </c>
      <c r="D34" s="14">
        <f>4419018+399879</f>
        <v>4818897</v>
      </c>
      <c r="E34" s="14">
        <f>D34+4367163</f>
        <v>9186060</v>
      </c>
      <c r="F34" s="14">
        <f>E34+614953+1908+195850+6232+3441+1029179+163748+29083+49508+4831</f>
        <v>11284793</v>
      </c>
      <c r="G34" s="14">
        <f>M34-H34</f>
        <v>6008186</v>
      </c>
      <c r="H34" s="14">
        <f>1948762+10726581</f>
        <v>12675343</v>
      </c>
      <c r="I34" s="14">
        <v>-3264498</v>
      </c>
      <c r="J34" s="14">
        <f>K34-(I34+40842744)</f>
        <v>793961</v>
      </c>
      <c r="K34" s="15">
        <v>38372207</v>
      </c>
      <c r="L34" s="14">
        <v>57055736</v>
      </c>
      <c r="M34" s="17">
        <v>18683529</v>
      </c>
      <c r="N34" s="16">
        <f>(23012727-(213078+13621+44844+2834))*1000</f>
        <v>22738350000</v>
      </c>
      <c r="O34" s="17">
        <f>(23012727+5586993+17183219+1031998)*1000</f>
        <v>46814937000</v>
      </c>
      <c r="P34" s="16">
        <f>43989771*1000</f>
        <v>43989771000</v>
      </c>
      <c r="Q34" s="16">
        <f>H34*1000</f>
        <v>12675343000</v>
      </c>
      <c r="R34" s="16">
        <f>2825166*1000</f>
        <v>2825166000</v>
      </c>
      <c r="S34" s="40">
        <v>9752073</v>
      </c>
      <c r="T34" s="41">
        <v>65963056251.710487</v>
      </c>
      <c r="U34" s="41">
        <v>23097279000</v>
      </c>
      <c r="V34" s="41">
        <v>9133763000</v>
      </c>
      <c r="W34" s="41">
        <v>380953792000</v>
      </c>
      <c r="X34" s="19">
        <f t="shared" si="1"/>
        <v>0.80205522931547057</v>
      </c>
      <c r="Y34" s="20">
        <f t="shared" si="2"/>
        <v>1.5289240379708617</v>
      </c>
      <c r="Z34" s="20">
        <f t="shared" si="3"/>
        <v>1.8782362929509839</v>
      </c>
      <c r="AA34" s="20">
        <f t="shared" si="4"/>
        <v>1.0642232486275047</v>
      </c>
      <c r="AB34" s="20">
        <f t="shared" si="5"/>
        <v>289.69902091586067</v>
      </c>
      <c r="AC34" s="20">
        <f t="shared" si="6"/>
        <v>-4.3300414177463241E-2</v>
      </c>
      <c r="AD34" s="20">
        <f t="shared" si="7"/>
        <v>0.22215720782218987</v>
      </c>
      <c r="AE34" s="20">
        <f t="shared" si="8"/>
        <v>1299.7588307634694</v>
      </c>
      <c r="AF34" s="20">
        <f t="shared" si="9"/>
        <v>5.9687947665841845E-2</v>
      </c>
      <c r="AG34" s="20">
        <f t="shared" si="10"/>
        <v>0.12288875444505354</v>
      </c>
      <c r="AH34" s="20">
        <f t="shared" si="11"/>
        <v>0.11547272116404081</v>
      </c>
      <c r="AI34" s="21">
        <f t="shared" si="12"/>
        <v>2.3976039067751292E-2</v>
      </c>
      <c r="AJ34" s="21">
        <f t="shared" si="29"/>
        <v>0.17315238130431967</v>
      </c>
      <c r="AK34" s="21">
        <f t="shared" si="35"/>
        <v>6.0630132800988105E-2</v>
      </c>
      <c r="AL34">
        <f t="shared" ref="AL34:AR51" si="37">1/AD34</f>
        <v>4.5013169268871067</v>
      </c>
      <c r="AM34">
        <f t="shared" si="37"/>
        <v>7.6937349939958241E-4</v>
      </c>
      <c r="AN34">
        <f t="shared" si="37"/>
        <v>16.753801045370487</v>
      </c>
      <c r="AO34">
        <f t="shared" si="37"/>
        <v>8.1374410906501904</v>
      </c>
      <c r="AP34">
        <f t="shared" si="37"/>
        <v>8.6600539930066915</v>
      </c>
      <c r="AQ34">
        <f t="shared" si="37"/>
        <v>41.70830708000635</v>
      </c>
      <c r="AR34">
        <f t="shared" si="37"/>
        <v>5.7752598749564683</v>
      </c>
      <c r="AS34">
        <f t="shared" si="36"/>
        <v>16.493448946951716</v>
      </c>
      <c r="AT34">
        <f t="shared" si="14"/>
        <v>-0.6602081947356383</v>
      </c>
      <c r="AU34">
        <f t="shared" si="15"/>
        <v>-0.66141560401928956</v>
      </c>
      <c r="AV34">
        <f t="shared" si="16"/>
        <v>-0.65425465505084812</v>
      </c>
      <c r="AW34">
        <f t="shared" si="17"/>
        <v>-7.1823717977472154E-3</v>
      </c>
      <c r="AX34">
        <f t="shared" si="18"/>
        <v>-0.14128995054352733</v>
      </c>
      <c r="AY34">
        <f t="shared" si="19"/>
        <v>-0.17296192185195672</v>
      </c>
      <c r="AZ34">
        <f t="shared" si="31"/>
        <v>-0.1017459257002383</v>
      </c>
      <c r="BA34">
        <f t="shared" si="32"/>
        <v>0.18660877696670422</v>
      </c>
      <c r="BB34">
        <f t="shared" si="33"/>
        <v>-0.20381893343647914</v>
      </c>
      <c r="BC34">
        <f t="shared" si="34"/>
        <v>0.25187796225713399</v>
      </c>
      <c r="BD34">
        <f t="shared" si="20"/>
        <v>0.30585106775769044</v>
      </c>
      <c r="BE34">
        <f t="shared" si="21"/>
        <v>-0.16802692250470255</v>
      </c>
      <c r="BF34">
        <f t="shared" si="22"/>
        <v>1.1922740468342223</v>
      </c>
      <c r="BG34">
        <f t="shared" si="23"/>
        <v>-0.16901274031888042</v>
      </c>
      <c r="BH34">
        <f t="shared" si="24"/>
        <v>-0.46351801492530809</v>
      </c>
      <c r="BI34">
        <f t="shared" si="25"/>
        <v>-0.6901360535175961</v>
      </c>
      <c r="BJ34">
        <f t="shared" si="26"/>
        <v>-8.5705851626858953E-2</v>
      </c>
      <c r="BK34">
        <f t="shared" si="27"/>
        <v>-0.33590519105547001</v>
      </c>
      <c r="BL34">
        <f t="shared" si="28"/>
        <v>-0.43543660504822168</v>
      </c>
    </row>
    <row r="35" spans="1:64" s="11" customFormat="1">
      <c r="A35" s="11" t="s">
        <v>112</v>
      </c>
      <c r="B35" s="11" t="s">
        <v>113</v>
      </c>
      <c r="C35" s="11">
        <v>2013</v>
      </c>
      <c r="D35" s="39">
        <f>866960415+8880151564</f>
        <v>9747111979</v>
      </c>
      <c r="E35" s="39">
        <f>D35+256175528+608377669+69408422+285677319+733629286</f>
        <v>11700380203</v>
      </c>
      <c r="F35" s="39">
        <f>L35-(151571352+34097643+2718000+680365000+1090694896+2452040572)</f>
        <v>15163449493</v>
      </c>
      <c r="G35" s="39">
        <f>M35-H35</f>
        <v>2676480367</v>
      </c>
      <c r="H35" s="39">
        <f>337309270+2415546586</f>
        <v>2752855856</v>
      </c>
      <c r="I35" s="39">
        <v>6616597789</v>
      </c>
      <c r="J35" s="39">
        <f>K35-(I35+3123282257)</f>
        <v>4418586687</v>
      </c>
      <c r="K35" s="39">
        <v>14158466733</v>
      </c>
      <c r="L35" s="39">
        <v>19574936956</v>
      </c>
      <c r="M35" s="17">
        <v>5429336223</v>
      </c>
      <c r="N35" s="17">
        <f>863018492+1654186763+2518921322+83470020</f>
        <v>5119596597</v>
      </c>
      <c r="O35" s="17">
        <f>5353882299+1782012344+2238656443+25218864</f>
        <v>9399769950</v>
      </c>
      <c r="P35" s="17">
        <v>6223680621</v>
      </c>
      <c r="Q35" s="17">
        <f>H35</f>
        <v>2752855856</v>
      </c>
      <c r="R35" s="17">
        <v>3176089329</v>
      </c>
      <c r="S35" s="40">
        <v>699628</v>
      </c>
      <c r="T35" s="41">
        <v>7703337534.5264063</v>
      </c>
      <c r="U35" s="41">
        <v>119000000</v>
      </c>
      <c r="V35" s="41">
        <v>1585194000</v>
      </c>
      <c r="W35" s="41">
        <v>38471723000</v>
      </c>
      <c r="X35" s="19">
        <f t="shared" si="1"/>
        <v>3.641764796476088</v>
      </c>
      <c r="Y35" s="20">
        <f t="shared" si="2"/>
        <v>4.3715546533654059</v>
      </c>
      <c r="Z35" s="20">
        <f t="shared" si="3"/>
        <v>5.6654439464453583</v>
      </c>
      <c r="AA35" s="20">
        <f t="shared" si="4"/>
        <v>1.5103233154804265</v>
      </c>
      <c r="AB35" s="20">
        <f t="shared" si="5"/>
        <v>4539.6829872446497</v>
      </c>
      <c r="AC35" s="20">
        <f t="shared" si="6"/>
        <v>0.56374048615352279</v>
      </c>
      <c r="AD35" s="20">
        <f t="shared" si="7"/>
        <v>0.14063165884967052</v>
      </c>
      <c r="AE35" s="20">
        <f t="shared" si="8"/>
        <v>3934.742257313887</v>
      </c>
      <c r="AF35" s="20">
        <f t="shared" si="9"/>
        <v>0.13307427372046737</v>
      </c>
      <c r="AG35" s="20">
        <f t="shared" si="10"/>
        <v>0.24432932078451491</v>
      </c>
      <c r="AH35" s="20">
        <f t="shared" si="11"/>
        <v>0.16177285901647814</v>
      </c>
      <c r="AI35" s="21">
        <f t="shared" si="12"/>
        <v>4.1204133227929512E-2</v>
      </c>
      <c r="AJ35" s="21">
        <f t="shared" si="29"/>
        <v>0.20023375439998894</v>
      </c>
      <c r="AK35" s="21">
        <f t="shared" si="35"/>
        <v>3.0931809318756011E-3</v>
      </c>
      <c r="AL35">
        <f t="shared" si="37"/>
        <v>7.1107744030023783</v>
      </c>
      <c r="AM35">
        <f t="shared" si="37"/>
        <v>2.5414625269068209E-4</v>
      </c>
      <c r="AN35">
        <f t="shared" si="37"/>
        <v>7.5146004711667711</v>
      </c>
      <c r="AO35">
        <f t="shared" si="37"/>
        <v>4.0928366550077113</v>
      </c>
      <c r="AP35">
        <f t="shared" si="37"/>
        <v>6.1815066265110659</v>
      </c>
      <c r="AQ35">
        <f t="shared" si="37"/>
        <v>24.269409927113021</v>
      </c>
      <c r="AR35">
        <f t="shared" si="37"/>
        <v>4.9941629621666586</v>
      </c>
      <c r="AS35">
        <f t="shared" si="36"/>
        <v>323.29178991596638</v>
      </c>
      <c r="AT35">
        <f t="shared" si="14"/>
        <v>0.6552642880874382</v>
      </c>
      <c r="AU35">
        <f t="shared" si="15"/>
        <v>0.59746637095503563</v>
      </c>
      <c r="AV35">
        <f t="shared" si="16"/>
        <v>1.0102583010294992</v>
      </c>
      <c r="AW35">
        <f t="shared" si="17"/>
        <v>4.0520772275693808</v>
      </c>
      <c r="AX35">
        <f t="shared" si="18"/>
        <v>3.1415911880055782</v>
      </c>
      <c r="AY35">
        <f t="shared" si="19"/>
        <v>1.3410602464652248</v>
      </c>
      <c r="AZ35">
        <f t="shared" si="31"/>
        <v>0.36226803672497976</v>
      </c>
      <c r="BA35">
        <f t="shared" si="32"/>
        <v>-0.61080707083754782</v>
      </c>
      <c r="BB35">
        <f t="shared" si="33"/>
        <v>-1.8356264088053915</v>
      </c>
      <c r="BC35">
        <f t="shared" si="34"/>
        <v>-1.9535266106291094</v>
      </c>
      <c r="BD35">
        <f t="shared" si="20"/>
        <v>-1.0239795111407699</v>
      </c>
      <c r="BE35">
        <f t="shared" si="21"/>
        <v>-0.2073556896055028</v>
      </c>
      <c r="BF35">
        <f t="shared" si="22"/>
        <v>0.67059681699304163</v>
      </c>
      <c r="BG35">
        <f t="shared" si="23"/>
        <v>-0.10723336041053945</v>
      </c>
      <c r="BH35">
        <f t="shared" si="24"/>
        <v>-0.67058205953639249</v>
      </c>
      <c r="BI35">
        <f t="shared" si="25"/>
        <v>0.54873020631589708</v>
      </c>
      <c r="BJ35">
        <f t="shared" si="26"/>
        <v>3.4352085001665773</v>
      </c>
      <c r="BK35">
        <f t="shared" si="27"/>
        <v>1.909151780350576</v>
      </c>
      <c r="BL35">
        <f t="shared" si="28"/>
        <v>0.85910729371214856</v>
      </c>
    </row>
    <row r="36" spans="1:64" s="11" customFormat="1">
      <c r="A36" s="11" t="s">
        <v>114</v>
      </c>
      <c r="B36" s="11" t="s">
        <v>115</v>
      </c>
      <c r="C36" s="11">
        <v>2013</v>
      </c>
      <c r="D36" s="14">
        <f>9956467+1102828+22937691</f>
        <v>33996986</v>
      </c>
      <c r="E36" s="14">
        <f>D36+(1610949+1279315+3466891+876163+1126856+3705749+1022239)</f>
        <v>47085148</v>
      </c>
      <c r="F36" s="14">
        <f>E36+1186659+193288+84594+93421</f>
        <v>48643110</v>
      </c>
      <c r="G36" s="14">
        <f>M36-H36</f>
        <v>6610901</v>
      </c>
      <c r="H36" s="14">
        <f>1162656+15893016+25330+172936+3733938+22053829</f>
        <v>43041705</v>
      </c>
      <c r="I36" s="14">
        <v>-6869441</v>
      </c>
      <c r="J36" s="14">
        <f>K36-(I36+22582219)</f>
        <v>11324428</v>
      </c>
      <c r="K36" s="15">
        <v>27037206</v>
      </c>
      <c r="L36" s="14">
        <v>76647923</v>
      </c>
      <c r="M36" s="17">
        <v>49652606</v>
      </c>
      <c r="N36" s="16">
        <f>24618403*1000</f>
        <v>24618403000</v>
      </c>
      <c r="O36" s="17">
        <f>(25506361+10525415+21887492+1695846)*1000</f>
        <v>59615114000</v>
      </c>
      <c r="P36" s="16">
        <f>57743531*1000</f>
        <v>57743531000</v>
      </c>
      <c r="Q36" s="16">
        <f t="shared" ref="Q36:Q45" si="38">H36*1000</f>
        <v>43041705000</v>
      </c>
      <c r="R36" s="16">
        <f>1871583*1000</f>
        <v>1871583000</v>
      </c>
      <c r="S36" s="40">
        <v>11544225</v>
      </c>
      <c r="T36" s="41">
        <v>247648681441.58545</v>
      </c>
      <c r="U36" s="41">
        <v>12942998000</v>
      </c>
      <c r="V36" s="41">
        <v>17289241000</v>
      </c>
      <c r="W36" s="41">
        <v>474973111000</v>
      </c>
      <c r="X36" s="19">
        <f t="shared" si="1"/>
        <v>5.1425646821817477</v>
      </c>
      <c r="Y36" s="20">
        <f t="shared" si="2"/>
        <v>7.1223495859338994</v>
      </c>
      <c r="Z36" s="20">
        <f t="shared" si="3"/>
        <v>7.3580151933904316</v>
      </c>
      <c r="AA36" s="20">
        <f t="shared" si="4"/>
        <v>1.0324119943409764</v>
      </c>
      <c r="AB36" s="20">
        <f t="shared" si="5"/>
        <v>162.12287962162898</v>
      </c>
      <c r="AC36" s="20">
        <f t="shared" si="6"/>
        <v>5.8122736085099137E-2</v>
      </c>
      <c r="AD36" s="20">
        <f t="shared" si="7"/>
        <v>0.56155083289080121</v>
      </c>
      <c r="AE36" s="20">
        <f t="shared" si="8"/>
        <v>3728.4187548319615</v>
      </c>
      <c r="AF36" s="20">
        <f t="shared" si="9"/>
        <v>5.1831150921720283E-2</v>
      </c>
      <c r="AG36" s="20">
        <f t="shared" si="10"/>
        <v>0.12551260822846874</v>
      </c>
      <c r="AH36" s="20">
        <f t="shared" si="11"/>
        <v>0.12157221043192906</v>
      </c>
      <c r="AI36" s="21">
        <f t="shared" si="12"/>
        <v>3.6400462677980944E-2</v>
      </c>
      <c r="AJ36" s="21">
        <f t="shared" si="29"/>
        <v>0.52139516049696011</v>
      </c>
      <c r="AK36" s="21">
        <f t="shared" si="35"/>
        <v>2.7249959419281738E-2</v>
      </c>
      <c r="AL36">
        <f t="shared" si="37"/>
        <v>1.7807826850725361</v>
      </c>
      <c r="AM36">
        <f t="shared" si="37"/>
        <v>2.6821021611481236E-4</v>
      </c>
      <c r="AN36">
        <f t="shared" si="37"/>
        <v>19.293416839426992</v>
      </c>
      <c r="AO36">
        <f t="shared" si="37"/>
        <v>7.9673270607181932</v>
      </c>
      <c r="AP36">
        <f t="shared" si="37"/>
        <v>8.2255640203228992</v>
      </c>
      <c r="AQ36">
        <f t="shared" si="37"/>
        <v>27.472178275495146</v>
      </c>
      <c r="AR36">
        <f t="shared" si="37"/>
        <v>1.917931112070286</v>
      </c>
      <c r="AS36">
        <f t="shared" si="36"/>
        <v>36.697302356069279</v>
      </c>
      <c r="AT36">
        <f t="shared" si="14"/>
        <v>1.3504976931866248</v>
      </c>
      <c r="AU36">
        <f t="shared" si="15"/>
        <v>1.8156781705139986</v>
      </c>
      <c r="AV36">
        <f t="shared" si="16"/>
        <v>1.7541590921650674</v>
      </c>
      <c r="AW36">
        <f t="shared" si="17"/>
        <v>-0.29664688643336745</v>
      </c>
      <c r="AX36">
        <f t="shared" si="18"/>
        <v>-0.23983557125688987</v>
      </c>
      <c r="AY36">
        <f t="shared" si="19"/>
        <v>7.9997800951495029E-2</v>
      </c>
      <c r="AZ36">
        <f t="shared" si="31"/>
        <v>-0.58551156856373632</v>
      </c>
      <c r="BA36">
        <f t="shared" si="32"/>
        <v>-0.58904031182203109</v>
      </c>
      <c r="BB36">
        <f t="shared" si="33"/>
        <v>0.24472247488374538</v>
      </c>
      <c r="BC36">
        <f t="shared" si="34"/>
        <v>0.15911975425587646</v>
      </c>
      <c r="BD36">
        <f t="shared" si="20"/>
        <v>7.2731434979963011E-2</v>
      </c>
      <c r="BE36">
        <f t="shared" si="21"/>
        <v>-0.20013270243223211</v>
      </c>
      <c r="BF36">
        <f t="shared" si="22"/>
        <v>-1.3839499154677126</v>
      </c>
      <c r="BG36">
        <f t="shared" si="23"/>
        <v>-0.16494433000273609</v>
      </c>
      <c r="BH36">
        <f t="shared" si="24"/>
        <v>0.39849662475057257</v>
      </c>
      <c r="BI36">
        <f t="shared" si="25"/>
        <v>0.45172495639288057</v>
      </c>
      <c r="BJ36">
        <f t="shared" si="26"/>
        <v>-0.46265766135378761</v>
      </c>
      <c r="BK36">
        <f t="shared" si="27"/>
        <v>-0.28739832546707822</v>
      </c>
      <c r="BL36">
        <f t="shared" si="28"/>
        <v>-0.26489593317237264</v>
      </c>
    </row>
    <row r="37" spans="1:64" s="11" customFormat="1">
      <c r="A37" s="11" t="s">
        <v>116</v>
      </c>
      <c r="B37" s="11" t="s">
        <v>117</v>
      </c>
      <c r="C37" s="11">
        <v>2013</v>
      </c>
      <c r="D37" s="14">
        <f>4611734+449989</f>
        <v>5061723</v>
      </c>
      <c r="E37" s="14">
        <f>D37+(93844+47740+465941+439107+4293+17844+26)</f>
        <v>6130518</v>
      </c>
      <c r="F37" s="14">
        <v>6659565</v>
      </c>
      <c r="G37" s="14">
        <v>2004125</v>
      </c>
      <c r="H37" s="14">
        <v>2685160</v>
      </c>
      <c r="I37" s="14">
        <v>2264846</v>
      </c>
      <c r="J37" s="14">
        <f>K37-(I37+9651607)</f>
        <v>5536820</v>
      </c>
      <c r="K37" s="15">
        <v>17453273</v>
      </c>
      <c r="L37" s="14">
        <v>22253908</v>
      </c>
      <c r="M37" s="17">
        <v>4689285</v>
      </c>
      <c r="N37" s="16">
        <f>(8527220-(68601+87515+615))*1000</f>
        <v>8370489000</v>
      </c>
      <c r="O37" s="17">
        <f>(8527220+3318108+7078152)*1000</f>
        <v>18923480000</v>
      </c>
      <c r="P37" s="16">
        <f>17974717*1000</f>
        <v>17974717000</v>
      </c>
      <c r="Q37" s="16">
        <f t="shared" si="38"/>
        <v>2685160000</v>
      </c>
      <c r="R37" s="16">
        <f>948763*1000</f>
        <v>948763000</v>
      </c>
      <c r="S37" s="40">
        <v>3814820</v>
      </c>
      <c r="T37" s="41">
        <v>40922765831.865273</v>
      </c>
      <c r="U37" s="41">
        <v>4621000</v>
      </c>
      <c r="V37" s="41">
        <v>2626719000</v>
      </c>
      <c r="W37" s="41">
        <v>161187913000</v>
      </c>
      <c r="X37" s="19">
        <f t="shared" si="1"/>
        <v>2.5256523420445331</v>
      </c>
      <c r="Y37" s="20">
        <f t="shared" si="2"/>
        <v>3.058949915798665</v>
      </c>
      <c r="Z37" s="20">
        <f t="shared" si="3"/>
        <v>3.322928959022017</v>
      </c>
      <c r="AA37" s="20">
        <f t="shared" si="4"/>
        <v>1.05278319541832</v>
      </c>
      <c r="AB37" s="20">
        <f t="shared" si="5"/>
        <v>248.70452603268305</v>
      </c>
      <c r="AC37" s="20">
        <f t="shared" si="6"/>
        <v>0.35057509898935502</v>
      </c>
      <c r="AD37" s="20">
        <f t="shared" si="7"/>
        <v>0.12066015551066357</v>
      </c>
      <c r="AE37" s="20">
        <f t="shared" si="8"/>
        <v>703.87593647930964</v>
      </c>
      <c r="AF37" s="20">
        <f t="shared" si="9"/>
        <v>5.1930004205712373E-2</v>
      </c>
      <c r="AG37" s="20">
        <f t="shared" si="10"/>
        <v>0.11740011796045774</v>
      </c>
      <c r="AH37" s="20">
        <f t="shared" si="11"/>
        <v>0.11151405006403924</v>
      </c>
      <c r="AI37" s="21">
        <f t="shared" si="12"/>
        <v>1.629600477549455E-2</v>
      </c>
      <c r="AJ37" s="21">
        <f t="shared" si="29"/>
        <v>0.25388234806331461</v>
      </c>
      <c r="AK37" s="43">
        <f t="shared" si="35"/>
        <v>2.8668402698408284E-5</v>
      </c>
      <c r="AL37">
        <f t="shared" si="37"/>
        <v>8.2877400229409037</v>
      </c>
      <c r="AM37">
        <f t="shared" si="37"/>
        <v>1.4207049114391694E-3</v>
      </c>
      <c r="AN37">
        <f t="shared" si="37"/>
        <v>19.256690140803006</v>
      </c>
      <c r="AO37">
        <f t="shared" si="37"/>
        <v>8.5178790053415128</v>
      </c>
      <c r="AP37">
        <f t="shared" si="37"/>
        <v>8.9674798774300584</v>
      </c>
      <c r="AQ37">
        <f t="shared" si="37"/>
        <v>61.364734103647933</v>
      </c>
      <c r="AR37">
        <f t="shared" si="37"/>
        <v>3.9388323277623631</v>
      </c>
      <c r="AS37">
        <f t="shared" si="36"/>
        <v>34881.608526293014</v>
      </c>
      <c r="AT37">
        <f t="shared" si="14"/>
        <v>0.13823422328088775</v>
      </c>
      <c r="AU37">
        <f t="shared" si="15"/>
        <v>1.6168739303612987E-2</v>
      </c>
      <c r="AV37">
        <f t="shared" si="16"/>
        <v>-1.9298803604276406E-2</v>
      </c>
      <c r="AW37">
        <f t="shared" si="17"/>
        <v>-0.11128041897863766</v>
      </c>
      <c r="AX37">
        <f t="shared" si="18"/>
        <v>-0.17295596507500904</v>
      </c>
      <c r="AY37">
        <f t="shared" si="19"/>
        <v>0.80940394207371846</v>
      </c>
      <c r="AZ37">
        <f t="shared" si="31"/>
        <v>0.57155616881554594</v>
      </c>
      <c r="BA37">
        <f t="shared" si="32"/>
        <v>1.1946726816820055</v>
      </c>
      <c r="BB37">
        <f t="shared" si="33"/>
        <v>0.23823588539162277</v>
      </c>
      <c r="BC37">
        <f t="shared" si="34"/>
        <v>0.45931963674223647</v>
      </c>
      <c r="BD37">
        <f t="shared" si="20"/>
        <v>0.47079620755105522</v>
      </c>
      <c r="BE37">
        <f t="shared" si="21"/>
        <v>-0.12369711003611908</v>
      </c>
      <c r="BF37">
        <f t="shared" si="22"/>
        <v>-3.4235007212001095E-2</v>
      </c>
      <c r="BG37">
        <f t="shared" si="23"/>
        <v>6.8517070690132345</v>
      </c>
      <c r="BH37">
        <f t="shared" si="24"/>
        <v>-0.72130702012184678</v>
      </c>
      <c r="BI37">
        <f t="shared" si="25"/>
        <v>-0.97029690959820225</v>
      </c>
      <c r="BJ37">
        <f t="shared" si="26"/>
        <v>-0.45791489842993471</v>
      </c>
      <c r="BK37">
        <f t="shared" si="27"/>
        <v>-0.43737294581553093</v>
      </c>
      <c r="BL37">
        <f t="shared" si="28"/>
        <v>-0.5461203687993974</v>
      </c>
    </row>
    <row r="38" spans="1:64" s="11" customFormat="1">
      <c r="A38" s="11" t="s">
        <v>118</v>
      </c>
      <c r="B38" s="11" t="s">
        <v>119</v>
      </c>
      <c r="C38" s="11">
        <v>2013</v>
      </c>
      <c r="D38" s="14">
        <f>4760899+1240597</f>
        <v>6001496</v>
      </c>
      <c r="E38" s="14">
        <f>D38+1375263+563468</f>
        <v>7940227</v>
      </c>
      <c r="F38" s="14">
        <v>8656693</v>
      </c>
      <c r="G38" s="14">
        <v>3089139</v>
      </c>
      <c r="H38" s="14">
        <v>12344588</v>
      </c>
      <c r="I38" s="14">
        <v>1596392</v>
      </c>
      <c r="J38" s="14">
        <f>K38-(I38+12020249)</f>
        <v>3344475</v>
      </c>
      <c r="K38" s="15">
        <v>16961116</v>
      </c>
      <c r="L38" s="14">
        <v>32365015</v>
      </c>
      <c r="M38" s="17">
        <v>15433727</v>
      </c>
      <c r="N38" s="16">
        <f>9087821*1000</f>
        <v>9087821000</v>
      </c>
      <c r="O38" s="16">
        <f>(9093207+6180970+8956554+90711)*1000</f>
        <v>24321442000</v>
      </c>
      <c r="P38" s="16">
        <f>22617816*1000</f>
        <v>22617816000</v>
      </c>
      <c r="Q38" s="16">
        <f t="shared" si="38"/>
        <v>12344588000</v>
      </c>
      <c r="R38" s="16">
        <f>1703626*1000</f>
        <v>1703626000</v>
      </c>
      <c r="S38" s="40">
        <v>3899353</v>
      </c>
      <c r="T38" s="41">
        <v>57620890078.429214</v>
      </c>
      <c r="U38" s="41">
        <v>236100000</v>
      </c>
      <c r="V38" s="41">
        <v>10860505000</v>
      </c>
      <c r="W38" s="41">
        <v>156605034000</v>
      </c>
      <c r="X38" s="19">
        <f t="shared" si="1"/>
        <v>1.9427730510022372</v>
      </c>
      <c r="Y38" s="20">
        <f t="shared" si="2"/>
        <v>2.5703689604125941</v>
      </c>
      <c r="Z38" s="20">
        <f t="shared" si="3"/>
        <v>2.8022996051650639</v>
      </c>
      <c r="AA38" s="20">
        <f t="shared" si="4"/>
        <v>1.0753223034443291</v>
      </c>
      <c r="AB38" s="20">
        <f t="shared" si="5"/>
        <v>436.89966002052137</v>
      </c>
      <c r="AC38" s="20">
        <f t="shared" si="6"/>
        <v>0.1526607356739986</v>
      </c>
      <c r="AD38" s="20">
        <f t="shared" si="7"/>
        <v>0.38141765112730519</v>
      </c>
      <c r="AE38" s="20">
        <f t="shared" si="8"/>
        <v>3165.8041731538542</v>
      </c>
      <c r="AF38" s="20">
        <f t="shared" si="9"/>
        <v>5.8030197164670963E-2</v>
      </c>
      <c r="AG38" s="20">
        <f t="shared" si="10"/>
        <v>0.15530434353725819</v>
      </c>
      <c r="AH38" s="20">
        <f t="shared" si="11"/>
        <v>0.14442585542939826</v>
      </c>
      <c r="AI38" s="21">
        <f t="shared" si="12"/>
        <v>6.9349654494503671E-2</v>
      </c>
      <c r="AJ38" s="21">
        <f t="shared" si="29"/>
        <v>0.36793766207048756</v>
      </c>
      <c r="AK38" s="21">
        <f t="shared" si="35"/>
        <v>1.5076143720897247E-3</v>
      </c>
      <c r="AL38">
        <f t="shared" si="37"/>
        <v>2.6217979085247722</v>
      </c>
      <c r="AM38">
        <f t="shared" si="37"/>
        <v>3.1587550755035322E-4</v>
      </c>
      <c r="AN38">
        <f t="shared" si="37"/>
        <v>17.232407416475304</v>
      </c>
      <c r="AO38">
        <f t="shared" si="37"/>
        <v>6.4389699426538938</v>
      </c>
      <c r="AP38">
        <f t="shared" si="37"/>
        <v>6.9239679905433844</v>
      </c>
      <c r="AQ38">
        <f t="shared" si="37"/>
        <v>14.419682510159518</v>
      </c>
      <c r="AR38">
        <f t="shared" si="37"/>
        <v>2.7178516990425003</v>
      </c>
      <c r="AS38">
        <f t="shared" si="36"/>
        <v>663.2995933926303</v>
      </c>
      <c r="AT38">
        <f t="shared" si="14"/>
        <v>-0.13177989261344894</v>
      </c>
      <c r="AU38">
        <f t="shared" si="15"/>
        <v>-0.2002032911390027</v>
      </c>
      <c r="AV38">
        <f t="shared" si="16"/>
        <v>-0.24812024253727244</v>
      </c>
      <c r="AW38">
        <f t="shared" si="17"/>
        <v>9.3812781883658797E-2</v>
      </c>
      <c r="AX38">
        <f t="shared" si="18"/>
        <v>-2.758547412017328E-2</v>
      </c>
      <c r="AY38">
        <f t="shared" si="19"/>
        <v>0.3157852529138126</v>
      </c>
      <c r="AZ38">
        <f t="shared" si="31"/>
        <v>-0.43596216610519878</v>
      </c>
      <c r="BA38">
        <f t="shared" si="32"/>
        <v>-0.51526886626340085</v>
      </c>
      <c r="BB38">
        <f t="shared" si="33"/>
        <v>-0.11928851894276211</v>
      </c>
      <c r="BC38">
        <f t="shared" si="34"/>
        <v>-0.67424870755930821</v>
      </c>
      <c r="BD38">
        <f t="shared" si="20"/>
        <v>-0.6256220543144223</v>
      </c>
      <c r="BE38">
        <f t="shared" si="21"/>
        <v>-0.22956911469720706</v>
      </c>
      <c r="BF38">
        <f t="shared" si="22"/>
        <v>-0.8497007729200321</v>
      </c>
      <c r="BG38">
        <f t="shared" si="23"/>
        <v>-3.876665620203517E-2</v>
      </c>
      <c r="BH38">
        <f t="shared" si="24"/>
        <v>-5.9017684011530021E-2</v>
      </c>
      <c r="BI38">
        <f t="shared" si="25"/>
        <v>0.18720556112525133</v>
      </c>
      <c r="BJ38">
        <f t="shared" si="26"/>
        <v>-0.16524107085721895</v>
      </c>
      <c r="BK38">
        <f t="shared" si="27"/>
        <v>0.26335785972989262</v>
      </c>
      <c r="BL38">
        <f t="shared" si="28"/>
        <v>0.37408805409348361</v>
      </c>
    </row>
    <row r="39" spans="1:64" s="11" customFormat="1">
      <c r="A39" s="11" t="s">
        <v>120</v>
      </c>
      <c r="B39" s="11" t="s">
        <v>121</v>
      </c>
      <c r="C39" s="11">
        <v>2013</v>
      </c>
      <c r="D39" s="14">
        <f>963395+643298+8202760</f>
        <v>9809453</v>
      </c>
      <c r="E39" s="14">
        <f>D39+(1964083+822180+1224863+18956+19505+66960+1542+17363+122671)</f>
        <v>14067576</v>
      </c>
      <c r="F39" s="14">
        <v>17526390</v>
      </c>
      <c r="G39" s="14">
        <v>11810821</v>
      </c>
      <c r="H39" s="14">
        <v>24092785</v>
      </c>
      <c r="I39" s="14">
        <v>-8097968</v>
      </c>
      <c r="J39" s="14">
        <f>K39-(I39+28239969)</f>
        <v>2982380</v>
      </c>
      <c r="K39" s="15">
        <v>23124381</v>
      </c>
      <c r="L39" s="14">
        <v>59027987</v>
      </c>
      <c r="M39" s="17">
        <v>35903606</v>
      </c>
      <c r="N39" s="16">
        <f>31777414*1000</f>
        <v>31777414000</v>
      </c>
      <c r="O39" s="17">
        <f>(31790290+13529327+24958507+92731)*1000</f>
        <v>70370855000</v>
      </c>
      <c r="P39" s="16">
        <f>69491530*1000</f>
        <v>69491530000</v>
      </c>
      <c r="Q39" s="16">
        <f t="shared" si="38"/>
        <v>24092785000</v>
      </c>
      <c r="R39" s="16">
        <f>879325*1000</f>
        <v>879325000</v>
      </c>
      <c r="S39" s="40">
        <v>12763536</v>
      </c>
      <c r="T39" s="41">
        <v>153058038593.81213</v>
      </c>
      <c r="U39" s="41">
        <v>16270690000</v>
      </c>
      <c r="V39" s="41">
        <v>17207461000</v>
      </c>
      <c r="W39" s="41">
        <v>590170522000</v>
      </c>
      <c r="X39" s="19">
        <f t="shared" si="1"/>
        <v>0.83054793566001894</v>
      </c>
      <c r="Y39" s="20">
        <f t="shared" si="2"/>
        <v>1.1910752012921033</v>
      </c>
      <c r="Z39" s="20">
        <f t="shared" si="3"/>
        <v>1.4839264772533594</v>
      </c>
      <c r="AA39" s="20">
        <f t="shared" si="4"/>
        <v>1.0126537003862197</v>
      </c>
      <c r="AB39" s="20">
        <f t="shared" si="5"/>
        <v>68.893526057355899</v>
      </c>
      <c r="AC39" s="20">
        <f t="shared" si="6"/>
        <v>-8.6663771881633031E-2</v>
      </c>
      <c r="AD39" s="20">
        <f t="shared" si="7"/>
        <v>0.40815867564652003</v>
      </c>
      <c r="AE39" s="20">
        <f t="shared" si="8"/>
        <v>1887.6262032715699</v>
      </c>
      <c r="AF39" s="20">
        <f t="shared" si="9"/>
        <v>5.3844461584274111E-2</v>
      </c>
      <c r="AG39" s="20">
        <f t="shared" si="10"/>
        <v>0.11923817333594307</v>
      </c>
      <c r="AH39" s="20">
        <f t="shared" si="11"/>
        <v>0.11774822260607587</v>
      </c>
      <c r="AI39" s="21">
        <f t="shared" si="12"/>
        <v>2.9156761238576398E-2</v>
      </c>
      <c r="AJ39" s="21">
        <f t="shared" si="29"/>
        <v>0.25934544828691414</v>
      </c>
      <c r="AK39" s="21">
        <f t="shared" si="35"/>
        <v>2.7569472539667104E-2</v>
      </c>
      <c r="AL39">
        <f t="shared" si="37"/>
        <v>2.4500275497415513</v>
      </c>
      <c r="AM39">
        <f t="shared" si="37"/>
        <v>5.2976590294563284E-4</v>
      </c>
      <c r="AN39">
        <f t="shared" si="37"/>
        <v>18.572012247440902</v>
      </c>
      <c r="AO39">
        <f t="shared" si="37"/>
        <v>8.386575976659655</v>
      </c>
      <c r="AP39">
        <f t="shared" si="37"/>
        <v>8.492697196334575</v>
      </c>
      <c r="AQ39">
        <f t="shared" si="37"/>
        <v>34.297362173303782</v>
      </c>
      <c r="AR39">
        <f t="shared" si="37"/>
        <v>3.8558610016309172</v>
      </c>
      <c r="AS39">
        <f t="shared" si="36"/>
        <v>36.272003338518523</v>
      </c>
      <c r="AT39">
        <f t="shared" si="14"/>
        <v>-0.6470091790366882</v>
      </c>
      <c r="AU39">
        <f t="shared" si="15"/>
        <v>-0.81103469573581999</v>
      </c>
      <c r="AV39">
        <f t="shared" si="16"/>
        <v>-0.82755748314710131</v>
      </c>
      <c r="AW39">
        <f t="shared" si="17"/>
        <v>-0.47643624393957629</v>
      </c>
      <c r="AX39">
        <f t="shared" si="18"/>
        <v>-0.31185016914716351</v>
      </c>
      <c r="AY39">
        <f t="shared" si="19"/>
        <v>-0.2811145765099603</v>
      </c>
      <c r="AZ39">
        <f t="shared" si="31"/>
        <v>-0.46650638670880856</v>
      </c>
      <c r="BA39">
        <f t="shared" si="32"/>
        <v>-0.18423126669778914</v>
      </c>
      <c r="BB39">
        <f t="shared" si="33"/>
        <v>0.1173095676182465</v>
      </c>
      <c r="BC39">
        <f t="shared" si="34"/>
        <v>0.38772393325713567</v>
      </c>
      <c r="BD39">
        <f t="shared" si="20"/>
        <v>0.21605807497105636</v>
      </c>
      <c r="BE39">
        <f t="shared" si="21"/>
        <v>-0.18474032609193625</v>
      </c>
      <c r="BF39">
        <f t="shared" si="22"/>
        <v>-8.9649707825661742E-2</v>
      </c>
      <c r="BG39">
        <f t="shared" si="23"/>
        <v>-0.16502997163136068</v>
      </c>
      <c r="BH39">
        <f t="shared" si="24"/>
        <v>8.9009594539589953E-3</v>
      </c>
      <c r="BI39">
        <f t="shared" si="25"/>
        <v>-0.41374378261413497</v>
      </c>
      <c r="BJ39">
        <f t="shared" si="26"/>
        <v>-0.366063448405615</v>
      </c>
      <c r="BK39">
        <f t="shared" si="27"/>
        <v>-0.40339303976808355</v>
      </c>
      <c r="BL39">
        <f t="shared" si="28"/>
        <v>-0.37181397572052433</v>
      </c>
    </row>
    <row r="40" spans="1:64" s="11" customFormat="1">
      <c r="A40" s="11" t="s">
        <v>122</v>
      </c>
      <c r="B40" s="11" t="s">
        <v>123</v>
      </c>
      <c r="C40" s="11">
        <v>2013</v>
      </c>
      <c r="D40" s="14">
        <f>895602+154690</f>
        <v>1050292</v>
      </c>
      <c r="E40" s="14">
        <f>D40+657221</f>
        <v>1707513</v>
      </c>
      <c r="F40" s="14">
        <v>2040621</v>
      </c>
      <c r="G40" s="14">
        <v>1098496</v>
      </c>
      <c r="H40" s="14">
        <v>3007341</v>
      </c>
      <c r="I40" s="14">
        <v>-1385150</v>
      </c>
      <c r="J40" s="14">
        <f>K40-(I40+2423472)</f>
        <v>660466</v>
      </c>
      <c r="K40" s="15">
        <v>1698788</v>
      </c>
      <c r="L40" s="14">
        <v>5831508</v>
      </c>
      <c r="M40" s="17">
        <v>4105837</v>
      </c>
      <c r="N40" s="16">
        <f>(3047466-(5010+167730+3757))*1000</f>
        <v>2870969000</v>
      </c>
      <c r="O40" s="16">
        <f>(3047466+1606570+2377964+190551)*1000</f>
        <v>7222551000</v>
      </c>
      <c r="P40" s="16">
        <f>6852131*1000</f>
        <v>6852131000</v>
      </c>
      <c r="Q40" s="16">
        <f t="shared" si="38"/>
        <v>3007341000</v>
      </c>
      <c r="R40" s="16">
        <f>370420*1000</f>
        <v>370420000</v>
      </c>
      <c r="S40" s="40">
        <v>1050292</v>
      </c>
      <c r="T40" s="41">
        <v>14640341053.602442</v>
      </c>
      <c r="U40" s="41">
        <v>858737000</v>
      </c>
      <c r="V40" s="41">
        <v>2807771000</v>
      </c>
      <c r="W40" s="41">
        <v>49409582000</v>
      </c>
      <c r="X40" s="19">
        <f t="shared" si="1"/>
        <v>0.95611818340713117</v>
      </c>
      <c r="Y40" s="20">
        <f t="shared" si="2"/>
        <v>1.5544098476462362</v>
      </c>
      <c r="Z40" s="20">
        <f t="shared" si="3"/>
        <v>1.8576499140643206</v>
      </c>
      <c r="AA40" s="20">
        <f t="shared" si="4"/>
        <v>1.0540590949005499</v>
      </c>
      <c r="AB40" s="20">
        <f t="shared" si="5"/>
        <v>352.68287295342628</v>
      </c>
      <c r="AC40" s="20">
        <f t="shared" si="6"/>
        <v>-0.12427042884962175</v>
      </c>
      <c r="AD40" s="20">
        <f t="shared" si="7"/>
        <v>0.51570554306021699</v>
      </c>
      <c r="AE40" s="20">
        <f t="shared" si="8"/>
        <v>2863.3380050500241</v>
      </c>
      <c r="AF40" s="20">
        <f t="shared" si="9"/>
        <v>5.8105510789384938E-2</v>
      </c>
      <c r="AG40" s="20">
        <f t="shared" si="10"/>
        <v>0.14617713220079456</v>
      </c>
      <c r="AH40" s="20">
        <f t="shared" si="11"/>
        <v>0.13868020579490026</v>
      </c>
      <c r="AI40" s="21">
        <f t="shared" si="12"/>
        <v>5.6826447145414023E-2</v>
      </c>
      <c r="AJ40" s="21">
        <f t="shared" si="29"/>
        <v>0.29630570551279795</v>
      </c>
      <c r="AK40" s="21">
        <f t="shared" si="35"/>
        <v>1.7379968929913229E-2</v>
      </c>
      <c r="AL40">
        <f t="shared" si="37"/>
        <v>1.9390910442148064</v>
      </c>
      <c r="AM40">
        <f t="shared" si="37"/>
        <v>3.4924273635746663E-4</v>
      </c>
      <c r="AN40">
        <f t="shared" si="37"/>
        <v>17.210071582103463</v>
      </c>
      <c r="AO40">
        <f t="shared" si="37"/>
        <v>6.8410153143951495</v>
      </c>
      <c r="AP40">
        <f t="shared" si="37"/>
        <v>7.2108344104921525</v>
      </c>
      <c r="AQ40">
        <f t="shared" si="37"/>
        <v>17.597440104623917</v>
      </c>
      <c r="AR40">
        <f t="shared" si="37"/>
        <v>3.3748928265466973</v>
      </c>
      <c r="AS40">
        <f t="shared" si="36"/>
        <v>57.537502168882909</v>
      </c>
      <c r="AT40">
        <f t="shared" si="14"/>
        <v>-0.58883977767154505</v>
      </c>
      <c r="AU40">
        <f t="shared" si="15"/>
        <v>-0.65012900693410969</v>
      </c>
      <c r="AV40">
        <f t="shared" si="16"/>
        <v>-0.6633025598690625</v>
      </c>
      <c r="AW40">
        <f t="shared" si="17"/>
        <v>-9.9670451606054783E-2</v>
      </c>
      <c r="AX40">
        <f t="shared" si="18"/>
        <v>-9.2638355260945104E-2</v>
      </c>
      <c r="AY40">
        <f t="shared" si="19"/>
        <v>-0.37490943002772154</v>
      </c>
      <c r="AZ40">
        <f t="shared" si="31"/>
        <v>-0.55736116194358476</v>
      </c>
      <c r="BA40">
        <f t="shared" si="32"/>
        <v>-0.4636264944399715</v>
      </c>
      <c r="BB40">
        <f t="shared" si="33"/>
        <v>-0.12323342534498222</v>
      </c>
      <c r="BC40">
        <f t="shared" si="34"/>
        <v>-0.45502511834196896</v>
      </c>
      <c r="BD40">
        <f t="shared" si="20"/>
        <v>-0.47170781306819903</v>
      </c>
      <c r="BE40">
        <f t="shared" si="21"/>
        <v>-0.22240253258827167</v>
      </c>
      <c r="BF40">
        <f t="shared" si="22"/>
        <v>-0.41087763884325984</v>
      </c>
      <c r="BG40">
        <f t="shared" si="23"/>
        <v>-0.16074777985994512</v>
      </c>
      <c r="BH40">
        <f t="shared" si="24"/>
        <v>0.28205568987397256</v>
      </c>
      <c r="BI40">
        <f t="shared" si="25"/>
        <v>4.4997786067053687E-2</v>
      </c>
      <c r="BJ40">
        <f t="shared" si="26"/>
        <v>-0.16162768895902119</v>
      </c>
      <c r="BK40">
        <f t="shared" si="27"/>
        <v>9.4624214473780957E-2</v>
      </c>
      <c r="BL40">
        <f t="shared" si="28"/>
        <v>0.21344067756817617</v>
      </c>
    </row>
    <row r="41" spans="1:64" s="11" customFormat="1">
      <c r="A41" s="11" t="s">
        <v>124</v>
      </c>
      <c r="B41" s="11" t="s">
        <v>125</v>
      </c>
      <c r="C41" s="11">
        <v>2013</v>
      </c>
      <c r="D41" s="14">
        <f>5561851+599322</f>
        <v>6161173</v>
      </c>
      <c r="E41" s="14">
        <f>D41+(433020+1070+5226+15609+420196+555893+25+15357+516120+114428)</f>
        <v>8238117</v>
      </c>
      <c r="F41" s="14">
        <v>10260839</v>
      </c>
      <c r="G41" s="14">
        <f>M41-H41</f>
        <v>2923976</v>
      </c>
      <c r="H41" s="14">
        <f>1054635+4063496</f>
        <v>5118131</v>
      </c>
      <c r="I41" s="14">
        <v>372597</v>
      </c>
      <c r="J41" s="14">
        <f>K41-(I41+11540963)</f>
        <v>5323487</v>
      </c>
      <c r="K41" s="15">
        <v>17237047</v>
      </c>
      <c r="L41" s="14">
        <v>25279154</v>
      </c>
      <c r="M41" s="17">
        <v>8042107</v>
      </c>
      <c r="N41" s="16">
        <f>9686085*1000</f>
        <v>9686085000</v>
      </c>
      <c r="O41" s="16">
        <f>(10410959+3405122+7651602+716705)*1000</f>
        <v>22184388000</v>
      </c>
      <c r="P41" s="16">
        <f>20680334*1000</f>
        <v>20680334000</v>
      </c>
      <c r="Q41" s="16">
        <f t="shared" si="38"/>
        <v>5118131000</v>
      </c>
      <c r="R41" s="16">
        <f>1504054*1000</f>
        <v>1504054000</v>
      </c>
      <c r="S41" s="40">
        <v>4723723</v>
      </c>
      <c r="T41" s="41">
        <v>51678815529.352875</v>
      </c>
      <c r="U41" s="41">
        <v>9724138000</v>
      </c>
      <c r="V41" s="41">
        <v>3440390000</v>
      </c>
      <c r="W41" s="41">
        <v>171088428000</v>
      </c>
      <c r="X41" s="19">
        <f t="shared" si="1"/>
        <v>2.1071216042812937</v>
      </c>
      <c r="Y41" s="20">
        <f t="shared" si="2"/>
        <v>2.817436600026813</v>
      </c>
      <c r="Z41" s="20">
        <f t="shared" si="3"/>
        <v>3.5092076679151951</v>
      </c>
      <c r="AA41" s="20">
        <f t="shared" si="4"/>
        <v>1.0727287093138824</v>
      </c>
      <c r="AB41" s="20">
        <f t="shared" si="5"/>
        <v>318.40436028954281</v>
      </c>
      <c r="AC41" s="20">
        <f t="shared" si="6"/>
        <v>0.22532731910253009</v>
      </c>
      <c r="AD41" s="20">
        <f t="shared" si="7"/>
        <v>0.20246448912016596</v>
      </c>
      <c r="AE41" s="20">
        <f t="shared" si="8"/>
        <v>1083.4951583740199</v>
      </c>
      <c r="AF41" s="20">
        <f t="shared" si="9"/>
        <v>5.661449528310588E-2</v>
      </c>
      <c r="AG41" s="20">
        <f t="shared" si="10"/>
        <v>0.12966620980350582</v>
      </c>
      <c r="AH41" s="20">
        <f t="shared" si="11"/>
        <v>0.12087511845044248</v>
      </c>
      <c r="AI41" s="21">
        <f t="shared" si="12"/>
        <v>2.0108841025764757E-2</v>
      </c>
      <c r="AJ41" s="21">
        <f t="shared" si="29"/>
        <v>0.30205909384679641</v>
      </c>
      <c r="AK41" s="21">
        <f t="shared" si="35"/>
        <v>5.683691242986931E-2</v>
      </c>
      <c r="AL41">
        <f t="shared" si="37"/>
        <v>4.9391377438365689</v>
      </c>
      <c r="AM41">
        <f t="shared" si="37"/>
        <v>9.2293905724570157E-4</v>
      </c>
      <c r="AN41">
        <f t="shared" si="37"/>
        <v>17.663320939264935</v>
      </c>
      <c r="AO41">
        <f t="shared" si="37"/>
        <v>7.7121094347971191</v>
      </c>
      <c r="AP41">
        <f t="shared" si="37"/>
        <v>8.2730012000773296</v>
      </c>
      <c r="AQ41">
        <f t="shared" si="37"/>
        <v>49.729370216748684</v>
      </c>
      <c r="AR41">
        <f t="shared" si="37"/>
        <v>3.310610474476221</v>
      </c>
      <c r="AS41">
        <f t="shared" si="36"/>
        <v>17.594199917771633</v>
      </c>
      <c r="AT41">
        <f t="shared" si="14"/>
        <v>-5.5646754939601459E-2</v>
      </c>
      <c r="AU41">
        <f t="shared" si="15"/>
        <v>-9.0787387283825488E-2</v>
      </c>
      <c r="AV41">
        <f t="shared" si="16"/>
        <v>6.2572419936509818E-2</v>
      </c>
      <c r="AW41">
        <f t="shared" si="17"/>
        <v>7.0212534645074487E-2</v>
      </c>
      <c r="AX41">
        <f t="shared" si="18"/>
        <v>-0.11911663931409346</v>
      </c>
      <c r="AY41">
        <f t="shared" si="19"/>
        <v>0.49702315327057506</v>
      </c>
      <c r="AZ41">
        <f t="shared" si="31"/>
        <v>-2.3892588765464767E-2</v>
      </c>
      <c r="BA41">
        <f t="shared" si="32"/>
        <v>0.42428178491727669</v>
      </c>
      <c r="BB41">
        <f t="shared" si="33"/>
        <v>-4.3181511406964121E-2</v>
      </c>
      <c r="BC41">
        <f t="shared" si="34"/>
        <v>1.9957042983692844E-2</v>
      </c>
      <c r="BD41">
        <f t="shared" si="20"/>
        <v>9.8183202844838252E-2</v>
      </c>
      <c r="BE41">
        <f t="shared" si="21"/>
        <v>-0.14993756047452308</v>
      </c>
      <c r="BF41">
        <f t="shared" si="22"/>
        <v>-0.45381038996120671</v>
      </c>
      <c r="BG41">
        <f t="shared" si="23"/>
        <v>-0.1687910842558262</v>
      </c>
      <c r="BH41">
        <f t="shared" si="24"/>
        <v>-0.51353489963471266</v>
      </c>
      <c r="BI41">
        <f t="shared" si="25"/>
        <v>-0.7918147829742449</v>
      </c>
      <c r="BJ41">
        <f t="shared" si="26"/>
        <v>-0.23316333022953284</v>
      </c>
      <c r="BK41">
        <f t="shared" si="27"/>
        <v>-0.21061119861513433</v>
      </c>
      <c r="BL41">
        <f t="shared" si="28"/>
        <v>-0.28438650519581488</v>
      </c>
    </row>
    <row r="42" spans="1:64" s="11" customFormat="1">
      <c r="A42" s="11" t="s">
        <v>126</v>
      </c>
      <c r="B42" s="11" t="s">
        <v>127</v>
      </c>
      <c r="C42" s="11">
        <v>2013</v>
      </c>
      <c r="D42" s="14">
        <f>1021651+940821</f>
        <v>1962472</v>
      </c>
      <c r="E42" s="14">
        <f>D42+814419</f>
        <v>2776891</v>
      </c>
      <c r="F42" s="14">
        <f>E42+1566+25561+9308+302+3326</f>
        <v>2816954</v>
      </c>
      <c r="G42" s="14">
        <f>M42-H42</f>
        <v>353090</v>
      </c>
      <c r="H42" s="14">
        <f>73863+543288</f>
        <v>617151</v>
      </c>
      <c r="I42" s="14">
        <v>748586</v>
      </c>
      <c r="J42" s="14">
        <f>K42-(I42+3552812)</f>
        <v>1242436</v>
      </c>
      <c r="K42" s="15">
        <v>5543834</v>
      </c>
      <c r="L42" s="14">
        <v>6514075</v>
      </c>
      <c r="M42" s="17">
        <v>970241</v>
      </c>
      <c r="N42" s="16">
        <f>(802700+139048+94967+49493+299726)*1000</f>
        <v>1385934000</v>
      </c>
      <c r="O42" s="16">
        <f>(1594989+668941+1618932+1046)*1000</f>
        <v>3883908000</v>
      </c>
      <c r="P42" s="16">
        <f>3614892*1000</f>
        <v>3614892000</v>
      </c>
      <c r="Q42" s="16">
        <f t="shared" si="38"/>
        <v>617151000</v>
      </c>
      <c r="R42" s="16">
        <f>269016*1000</f>
        <v>269016000</v>
      </c>
      <c r="S42" s="40">
        <v>833354</v>
      </c>
      <c r="T42" s="41">
        <v>6474663210.4678574</v>
      </c>
      <c r="U42" s="41">
        <v>67800000</v>
      </c>
      <c r="V42" s="41">
        <v>496095000</v>
      </c>
      <c r="W42" s="41">
        <v>38897143000</v>
      </c>
      <c r="X42" s="19">
        <f t="shared" si="1"/>
        <v>5.5579937126511654</v>
      </c>
      <c r="Y42" s="20">
        <f t="shared" si="2"/>
        <v>7.8645416182842904</v>
      </c>
      <c r="Z42" s="20">
        <f t="shared" si="3"/>
        <v>7.9780056076354473</v>
      </c>
      <c r="AA42" s="20">
        <f t="shared" si="4"/>
        <v>1.0744188208112442</v>
      </c>
      <c r="AB42" s="20">
        <f t="shared" si="5"/>
        <v>322.81119428238179</v>
      </c>
      <c r="AC42" s="20">
        <f t="shared" si="6"/>
        <v>0.30564922878536094</v>
      </c>
      <c r="AD42" s="20">
        <f t="shared" si="7"/>
        <v>9.4741156649255656E-2</v>
      </c>
      <c r="AE42" s="20">
        <f t="shared" si="8"/>
        <v>740.56283404171575</v>
      </c>
      <c r="AF42" s="20">
        <f t="shared" si="9"/>
        <v>3.5630740283418762E-2</v>
      </c>
      <c r="AG42" s="20">
        <f t="shared" si="10"/>
        <v>9.9850726825875105E-2</v>
      </c>
      <c r="AH42" s="20">
        <f t="shared" si="11"/>
        <v>9.2934640469609808E-2</v>
      </c>
      <c r="AI42" s="21">
        <f t="shared" si="12"/>
        <v>1.2754021548574917E-2</v>
      </c>
      <c r="AJ42" s="21">
        <f t="shared" si="29"/>
        <v>0.16645600964749152</v>
      </c>
      <c r="AK42" s="21">
        <f t="shared" si="35"/>
        <v>1.7430586097287402E-3</v>
      </c>
      <c r="AL42">
        <f t="shared" si="37"/>
        <v>10.555074852021628</v>
      </c>
      <c r="AM42">
        <f t="shared" si="37"/>
        <v>1.3503243128505018E-3</v>
      </c>
      <c r="AN42">
        <f t="shared" si="37"/>
        <v>28.065653198492857</v>
      </c>
      <c r="AO42">
        <f t="shared" si="37"/>
        <v>10.014949633204495</v>
      </c>
      <c r="AP42">
        <f t="shared" si="37"/>
        <v>10.760250375391575</v>
      </c>
      <c r="AQ42">
        <f t="shared" si="37"/>
        <v>78.406641873028349</v>
      </c>
      <c r="AR42">
        <f t="shared" si="37"/>
        <v>6.0075932501189211</v>
      </c>
      <c r="AS42">
        <f t="shared" si="36"/>
        <v>573.70417404129796</v>
      </c>
      <c r="AT42">
        <f t="shared" si="14"/>
        <v>1.542941830597061</v>
      </c>
      <c r="AU42">
        <f t="shared" si="15"/>
        <v>2.1443639190018615</v>
      </c>
      <c r="AV42">
        <f t="shared" si="16"/>
        <v>2.0266506404445135</v>
      </c>
      <c r="AW42">
        <f t="shared" si="17"/>
        <v>8.5591598288946094E-2</v>
      </c>
      <c r="AX42">
        <f t="shared" si="18"/>
        <v>-0.11571260007290425</v>
      </c>
      <c r="AY42">
        <f t="shared" si="19"/>
        <v>0.69735422123497359</v>
      </c>
      <c r="AZ42">
        <f t="shared" si="31"/>
        <v>0.97473385146270175</v>
      </c>
      <c r="BA42">
        <f t="shared" si="32"/>
        <v>1.0857448152870397</v>
      </c>
      <c r="BB42">
        <f t="shared" si="33"/>
        <v>1.7940557479803041</v>
      </c>
      <c r="BC42">
        <f t="shared" si="34"/>
        <v>1.2756284899708559</v>
      </c>
      <c r="BD42">
        <f t="shared" si="20"/>
        <v>1.4326826178588212</v>
      </c>
      <c r="BE42">
        <f t="shared" si="21"/>
        <v>-8.526364628327622E-2</v>
      </c>
      <c r="BF42">
        <f t="shared" si="22"/>
        <v>1.3474443330942265</v>
      </c>
      <c r="BG42">
        <f t="shared" si="23"/>
        <v>-5.6808309988918303E-2</v>
      </c>
      <c r="BH42">
        <f t="shared" si="24"/>
        <v>-0.78713782781530117</v>
      </c>
      <c r="BI42">
        <f t="shared" si="25"/>
        <v>-0.95304816370095258</v>
      </c>
      <c r="BJ42">
        <f t="shared" si="26"/>
        <v>-1.2399176958578266</v>
      </c>
      <c r="BK42">
        <f t="shared" si="27"/>
        <v>-0.76180640407603983</v>
      </c>
      <c r="BL42">
        <f t="shared" si="28"/>
        <v>-1.0655974686234611</v>
      </c>
    </row>
    <row r="43" spans="1:64" s="11" customFormat="1">
      <c r="A43" s="11" t="s">
        <v>128</v>
      </c>
      <c r="B43" s="11" t="s">
        <v>129</v>
      </c>
      <c r="C43" s="11">
        <v>2013</v>
      </c>
      <c r="D43" s="14">
        <f>4800754+572172+774776</f>
        <v>6147702</v>
      </c>
      <c r="E43" s="14">
        <f>D43+2681767</f>
        <v>8829469</v>
      </c>
      <c r="F43" s="14">
        <v>9742033</v>
      </c>
      <c r="G43" s="14">
        <f>M43-H43</f>
        <v>2017868</v>
      </c>
      <c r="H43" s="14">
        <f>280551+3279268</f>
        <v>3559819</v>
      </c>
      <c r="I43" s="14">
        <v>3593215</v>
      </c>
      <c r="J43" s="14">
        <f>K43-(I43+26326451)</f>
        <v>1193341</v>
      </c>
      <c r="K43" s="15">
        <v>31113007</v>
      </c>
      <c r="L43" s="14">
        <v>36617428</v>
      </c>
      <c r="M43" s="17">
        <v>5577687</v>
      </c>
      <c r="N43" s="16">
        <f>(7018128+834956+4122814+648193)*1000</f>
        <v>12624091000</v>
      </c>
      <c r="O43" s="17">
        <f>(12911120+3276126+12025661+772061)*1000</f>
        <v>28984968000</v>
      </c>
      <c r="P43" s="16">
        <f>27700999*1000</f>
        <v>27700999000</v>
      </c>
      <c r="Q43" s="16">
        <f t="shared" si="38"/>
        <v>3559819000</v>
      </c>
      <c r="R43" s="16">
        <f>1283969*1000</f>
        <v>1283969000</v>
      </c>
      <c r="S43" s="40">
        <v>6456243</v>
      </c>
      <c r="T43" s="41">
        <v>35328942376.464752</v>
      </c>
      <c r="U43" s="41">
        <v>1623943000</v>
      </c>
      <c r="V43" s="41">
        <v>2941566000</v>
      </c>
      <c r="W43" s="41">
        <v>256968697000</v>
      </c>
      <c r="X43" s="19">
        <f t="shared" si="1"/>
        <v>3.0466323862611429</v>
      </c>
      <c r="Y43" s="20">
        <f t="shared" si="2"/>
        <v>4.3756425098172924</v>
      </c>
      <c r="Z43" s="20">
        <f t="shared" si="3"/>
        <v>4.8278841827116539</v>
      </c>
      <c r="AA43" s="20">
        <f t="shared" si="4"/>
        <v>1.0463509998321721</v>
      </c>
      <c r="AB43" s="20">
        <f t="shared" si="5"/>
        <v>198.87247118796489</v>
      </c>
      <c r="AC43" s="20">
        <f t="shared" si="6"/>
        <v>0.13071797396583942</v>
      </c>
      <c r="AD43" s="20">
        <f t="shared" si="7"/>
        <v>9.7216522143499531E-2</v>
      </c>
      <c r="AE43" s="20">
        <f t="shared" si="8"/>
        <v>551.37624156959396</v>
      </c>
      <c r="AF43" s="20">
        <f t="shared" si="9"/>
        <v>4.9126960393934674E-2</v>
      </c>
      <c r="AG43" s="20">
        <f t="shared" si="10"/>
        <v>0.11279571534738335</v>
      </c>
      <c r="AH43" s="20">
        <f t="shared" si="11"/>
        <v>0.10779911842725341</v>
      </c>
      <c r="AI43" s="21">
        <f t="shared" si="12"/>
        <v>1.1447176385067634E-2</v>
      </c>
      <c r="AJ43" s="21">
        <f t="shared" si="29"/>
        <v>0.13748344755184227</v>
      </c>
      <c r="AK43" s="21">
        <f t="shared" si="35"/>
        <v>6.3196140968096205E-3</v>
      </c>
      <c r="AL43">
        <f t="shared" si="37"/>
        <v>10.286317366135751</v>
      </c>
      <c r="AM43">
        <f t="shared" si="37"/>
        <v>1.8136436150264943E-3</v>
      </c>
      <c r="AN43">
        <f t="shared" si="37"/>
        <v>20.355421788388565</v>
      </c>
      <c r="AO43">
        <f t="shared" si="37"/>
        <v>8.8655849818430017</v>
      </c>
      <c r="AP43">
        <f t="shared" si="37"/>
        <v>9.2765137098485155</v>
      </c>
      <c r="AQ43">
        <f t="shared" si="37"/>
        <v>87.35778731464805</v>
      </c>
      <c r="AR43">
        <f t="shared" si="37"/>
        <v>7.2736028795242413</v>
      </c>
      <c r="AS43">
        <f t="shared" si="36"/>
        <v>158.23751018354707</v>
      </c>
      <c r="AT43">
        <f t="shared" si="14"/>
        <v>0.37957401386804829</v>
      </c>
      <c r="AU43">
        <f t="shared" si="15"/>
        <v>0.5992767112699865</v>
      </c>
      <c r="AV43">
        <f t="shared" si="16"/>
        <v>0.64214300190139018</v>
      </c>
      <c r="AW43">
        <f t="shared" si="17"/>
        <v>-0.16980977958213267</v>
      </c>
      <c r="AX43">
        <f t="shared" si="18"/>
        <v>-0.21144851333894615</v>
      </c>
      <c r="AY43">
        <f t="shared" si="19"/>
        <v>0.26105775820605842</v>
      </c>
      <c r="AZ43">
        <f t="shared" si="31"/>
        <v>0.92694337121965986</v>
      </c>
      <c r="BA43">
        <f t="shared" si="32"/>
        <v>1.8028228745486936</v>
      </c>
      <c r="BB43">
        <f t="shared" si="33"/>
        <v>0.43229147511011318</v>
      </c>
      <c r="BC43">
        <f t="shared" si="34"/>
        <v>0.64891354210382479</v>
      </c>
      <c r="BD43">
        <f t="shared" si="20"/>
        <v>0.63660406977694417</v>
      </c>
      <c r="BE43">
        <f t="shared" si="21"/>
        <v>-6.5076732439332638E-2</v>
      </c>
      <c r="BF43">
        <f t="shared" si="22"/>
        <v>2.192983965380741</v>
      </c>
      <c r="BG43">
        <f t="shared" si="23"/>
        <v>-0.1404700168438171</v>
      </c>
      <c r="BH43">
        <f t="shared" si="24"/>
        <v>-0.78085072889246376</v>
      </c>
      <c r="BI43">
        <f t="shared" si="25"/>
        <v>-1.0419963080668604</v>
      </c>
      <c r="BJ43">
        <f t="shared" si="26"/>
        <v>-0.59239876914786149</v>
      </c>
      <c r="BK43">
        <f t="shared" si="27"/>
        <v>-0.52249397659817376</v>
      </c>
      <c r="BL43">
        <f t="shared" si="28"/>
        <v>-0.64998921903997608</v>
      </c>
    </row>
    <row r="44" spans="1:64" s="11" customFormat="1">
      <c r="A44" s="11" t="s">
        <v>130</v>
      </c>
      <c r="B44" s="11" t="s">
        <v>131</v>
      </c>
      <c r="C44" s="11">
        <v>2013</v>
      </c>
      <c r="D44" s="14">
        <f>26852447+1645680</f>
        <v>28498127</v>
      </c>
      <c r="E44" s="14">
        <f>D44+(3630640+2989264+1125466+2758153+228344+365277+232290+441410+227118)</f>
        <v>40496089</v>
      </c>
      <c r="F44" s="14">
        <v>48513636</v>
      </c>
      <c r="G44" s="14">
        <v>21512567</v>
      </c>
      <c r="H44" s="14">
        <v>53506571</v>
      </c>
      <c r="I44" s="14">
        <v>18704761</v>
      </c>
      <c r="J44" s="14">
        <f>K44-(I44+74425340)</f>
        <v>65499619</v>
      </c>
      <c r="K44" s="15">
        <v>158629720</v>
      </c>
      <c r="L44" s="14">
        <v>238488899</v>
      </c>
      <c r="M44" s="17">
        <v>75019138</v>
      </c>
      <c r="N44" s="16">
        <f>(26199771+3891539+3214393+4826435+4501478+1781711+1603086+2100125)*1000</f>
        <v>48118538000</v>
      </c>
      <c r="O44" s="17">
        <f>(51312038+27895351+52189047+382170)*1000</f>
        <v>131778606000</v>
      </c>
      <c r="P44" s="16">
        <f>121426202*1000</f>
        <v>121426202000</v>
      </c>
      <c r="Q44" s="16">
        <f t="shared" si="38"/>
        <v>53506571000</v>
      </c>
      <c r="R44" s="16">
        <f>10352404*1000</f>
        <v>10352404000</v>
      </c>
      <c r="S44" s="40">
        <v>26059203</v>
      </c>
      <c r="T44" s="41">
        <v>227025638966.73505</v>
      </c>
      <c r="U44" s="41">
        <v>61208246000</v>
      </c>
      <c r="V44" s="41">
        <v>44695000000</v>
      </c>
      <c r="W44" s="41">
        <v>1160078868000</v>
      </c>
      <c r="X44" s="19">
        <f t="shared" si="1"/>
        <v>1.3247199648465942</v>
      </c>
      <c r="Y44" s="20">
        <f t="shared" si="2"/>
        <v>1.8824387159375262</v>
      </c>
      <c r="Z44" s="20">
        <f t="shared" si="3"/>
        <v>2.2551300363178415</v>
      </c>
      <c r="AA44" s="20">
        <f t="shared" si="4"/>
        <v>1.0852567553747583</v>
      </c>
      <c r="AB44" s="20">
        <f t="shared" si="5"/>
        <v>397.26479739230706</v>
      </c>
      <c r="AC44" s="20">
        <f t="shared" si="6"/>
        <v>0.35307463094959401</v>
      </c>
      <c r="AD44" s="20">
        <f t="shared" si="7"/>
        <v>0.2243566523404513</v>
      </c>
      <c r="AE44" s="20">
        <f t="shared" si="8"/>
        <v>2053.2696644636444</v>
      </c>
      <c r="AF44" s="20">
        <f t="shared" si="9"/>
        <v>4.1478678154837315E-2</v>
      </c>
      <c r="AG44" s="20">
        <f t="shared" si="10"/>
        <v>0.11359452329925555</v>
      </c>
      <c r="AH44" s="20">
        <f t="shared" si="11"/>
        <v>0.10467064382384733</v>
      </c>
      <c r="AI44" s="21">
        <f t="shared" si="12"/>
        <v>3.8527552938754157E-2</v>
      </c>
      <c r="AJ44" s="21">
        <f t="shared" si="29"/>
        <v>0.1956984522596571</v>
      </c>
      <c r="AK44" s="21">
        <f t="shared" si="35"/>
        <v>5.2762142030502016E-2</v>
      </c>
      <c r="AL44">
        <f t="shared" si="37"/>
        <v>4.4571889871245904</v>
      </c>
      <c r="AM44">
        <f t="shared" si="37"/>
        <v>4.8702808856878536E-4</v>
      </c>
      <c r="AN44">
        <f t="shared" si="37"/>
        <v>24.108772132686159</v>
      </c>
      <c r="AO44">
        <f t="shared" si="37"/>
        <v>8.8032413091393593</v>
      </c>
      <c r="AP44">
        <f t="shared" si="37"/>
        <v>9.5537770999376228</v>
      </c>
      <c r="AQ44">
        <f t="shared" si="37"/>
        <v>25.955450676809487</v>
      </c>
      <c r="AR44">
        <f t="shared" si="37"/>
        <v>5.1099024466130043</v>
      </c>
      <c r="AS44">
        <f t="shared" si="36"/>
        <v>18.952983361098109</v>
      </c>
      <c r="AT44">
        <f t="shared" si="14"/>
        <v>-0.41808798452672397</v>
      </c>
      <c r="AU44">
        <f t="shared" si="15"/>
        <v>-0.50485876769628435</v>
      </c>
      <c r="AV44">
        <f t="shared" si="16"/>
        <v>-0.48860635258163476</v>
      </c>
      <c r="AW44">
        <f t="shared" si="17"/>
        <v>0.18421070459085612</v>
      </c>
      <c r="AX44">
        <f t="shared" si="18"/>
        <v>-5.820124678708679E-2</v>
      </c>
      <c r="AY44">
        <f t="shared" si="19"/>
        <v>0.8156380307424651</v>
      </c>
      <c r="AZ44">
        <f t="shared" si="31"/>
        <v>-0.10959275990630835</v>
      </c>
      <c r="BA44">
        <f t="shared" si="32"/>
        <v>-0.25037646903773725</v>
      </c>
      <c r="BB44">
        <f t="shared" si="33"/>
        <v>1.0952000352515472</v>
      </c>
      <c r="BC44">
        <f t="shared" si="34"/>
        <v>0.61491935971617295</v>
      </c>
      <c r="BD44">
        <f t="shared" si="20"/>
        <v>0.78536593712461744</v>
      </c>
      <c r="BE44">
        <f t="shared" si="21"/>
        <v>-0.2035532757609857</v>
      </c>
      <c r="BF44">
        <f t="shared" si="22"/>
        <v>0.74789664066481143</v>
      </c>
      <c r="BG44">
        <f t="shared" si="23"/>
        <v>-0.1685174687001055</v>
      </c>
      <c r="BH44">
        <f t="shared" si="24"/>
        <v>-0.45793171856068737</v>
      </c>
      <c r="BI44">
        <f t="shared" si="25"/>
        <v>-0.33586469875911806</v>
      </c>
      <c r="BJ44">
        <f t="shared" si="26"/>
        <v>-0.95934651200339038</v>
      </c>
      <c r="BK44">
        <f t="shared" si="27"/>
        <v>-0.50772651120154266</v>
      </c>
      <c r="BL44">
        <f t="shared" si="28"/>
        <v>-0.73746083139615648</v>
      </c>
    </row>
    <row r="45" spans="1:64" s="11" customFormat="1">
      <c r="A45" s="11" t="s">
        <v>132</v>
      </c>
      <c r="B45" s="11" t="s">
        <v>133</v>
      </c>
      <c r="C45" s="11">
        <v>2013</v>
      </c>
      <c r="D45" s="14">
        <f>2530393+964122</f>
        <v>3494515</v>
      </c>
      <c r="E45" s="14">
        <f>D45+(982085+854176)</f>
        <v>5330776</v>
      </c>
      <c r="F45" s="14">
        <f>E45+60070+78976+52448</f>
        <v>5522270</v>
      </c>
      <c r="G45" s="14">
        <f>M45-H45</f>
        <v>1182992</v>
      </c>
      <c r="H45" s="14">
        <f>694230+4606343</f>
        <v>5300573</v>
      </c>
      <c r="I45" s="14">
        <v>2269133</v>
      </c>
      <c r="J45" s="14">
        <f>K45-(I45+13495017)</f>
        <v>4761351</v>
      </c>
      <c r="K45" s="15">
        <v>20525501</v>
      </c>
      <c r="L45" s="14">
        <v>27027960</v>
      </c>
      <c r="M45" s="17">
        <v>6483565</v>
      </c>
      <c r="N45" s="16">
        <f>6131730*1000</f>
        <v>6131730000</v>
      </c>
      <c r="O45" s="16">
        <f>(6216345+1918848+3987424+114156)*1000</f>
        <v>12236773000</v>
      </c>
      <c r="P45" s="16">
        <f>10699299*1000</f>
        <v>10699299000</v>
      </c>
      <c r="Q45" s="16">
        <f t="shared" si="38"/>
        <v>5300573000</v>
      </c>
      <c r="R45" s="16">
        <f>1537474*1000</f>
        <v>1537474000</v>
      </c>
      <c r="S45" s="40">
        <v>2855287</v>
      </c>
      <c r="T45" s="41">
        <v>29019642762.073738</v>
      </c>
      <c r="U45" s="41">
        <v>267759000</v>
      </c>
      <c r="V45" s="41">
        <v>5001000000</v>
      </c>
      <c r="W45" s="41">
        <v>106288727000</v>
      </c>
      <c r="X45" s="19">
        <f t="shared" si="1"/>
        <v>2.9539633404114314</v>
      </c>
      <c r="Y45" s="20">
        <f t="shared" si="2"/>
        <v>4.5061809378254463</v>
      </c>
      <c r="Z45" s="20">
        <f t="shared" si="3"/>
        <v>4.6680535455861074</v>
      </c>
      <c r="AA45" s="20">
        <f t="shared" si="4"/>
        <v>1.143698573149512</v>
      </c>
      <c r="AB45" s="20">
        <f t="shared" si="5"/>
        <v>538.46566036969318</v>
      </c>
      <c r="AC45" s="20">
        <f t="shared" si="6"/>
        <v>0.26011892869458147</v>
      </c>
      <c r="AD45" s="20">
        <f t="shared" si="7"/>
        <v>0.1961144311298374</v>
      </c>
      <c r="AE45" s="20">
        <f t="shared" si="8"/>
        <v>1856.4063787633256</v>
      </c>
      <c r="AF45" s="20">
        <f t="shared" si="9"/>
        <v>5.7689372834430507E-2</v>
      </c>
      <c r="AG45" s="20">
        <f t="shared" si="10"/>
        <v>0.11512766542024724</v>
      </c>
      <c r="AH45" s="20">
        <f t="shared" si="11"/>
        <v>0.10066259425611523</v>
      </c>
      <c r="AI45" s="21">
        <f t="shared" si="12"/>
        <v>4.705108567157832E-2</v>
      </c>
      <c r="AJ45" s="21">
        <f t="shared" si="29"/>
        <v>0.27302653424453693</v>
      </c>
      <c r="AK45" s="21">
        <f t="shared" si="35"/>
        <v>2.5191664963679543E-3</v>
      </c>
      <c r="AL45">
        <f t="shared" si="37"/>
        <v>5.0990638181947503</v>
      </c>
      <c r="AM45">
        <f t="shared" si="37"/>
        <v>5.3867515832722239E-4</v>
      </c>
      <c r="AN45">
        <f t="shared" si="37"/>
        <v>17.334215139936038</v>
      </c>
      <c r="AO45">
        <f t="shared" si="37"/>
        <v>8.6860095386259104</v>
      </c>
      <c r="AP45">
        <f t="shared" si="37"/>
        <v>9.9341767156895049</v>
      </c>
      <c r="AQ45">
        <f t="shared" si="37"/>
        <v>21.25349470105979</v>
      </c>
      <c r="AR45">
        <f t="shared" si="37"/>
        <v>3.6626476718352485</v>
      </c>
      <c r="AS45">
        <f t="shared" si="36"/>
        <v>396.95669239876162</v>
      </c>
      <c r="AT45">
        <f t="shared" si="14"/>
        <v>0.33664582810056681</v>
      </c>
      <c r="AU45">
        <f t="shared" si="15"/>
        <v>0.65708671063148982</v>
      </c>
      <c r="AV45">
        <f t="shared" si="16"/>
        <v>0.57189595166938634</v>
      </c>
      <c r="AW45">
        <f t="shared" si="17"/>
        <v>0.7159983626385461</v>
      </c>
      <c r="AX45">
        <f t="shared" si="18"/>
        <v>5.0868729355843592E-2</v>
      </c>
      <c r="AY45">
        <f t="shared" si="19"/>
        <v>0.58379699036307009</v>
      </c>
      <c r="AZ45">
        <f t="shared" si="31"/>
        <v>4.5454801194606889E-3</v>
      </c>
      <c r="BA45">
        <f t="shared" si="32"/>
        <v>-0.17044243569400344</v>
      </c>
      <c r="BB45">
        <f t="shared" si="33"/>
        <v>-0.10130746064023309</v>
      </c>
      <c r="BC45">
        <f t="shared" si="34"/>
        <v>0.55099630200018601</v>
      </c>
      <c r="BD45">
        <f t="shared" si="20"/>
        <v>0.9894641311177037</v>
      </c>
      <c r="BE45">
        <f t="shared" si="21"/>
        <v>-0.21415727955016997</v>
      </c>
      <c r="BF45">
        <f t="shared" si="22"/>
        <v>-0.21869258714801088</v>
      </c>
      <c r="BG45">
        <f t="shared" si="23"/>
        <v>-9.239960354594437E-2</v>
      </c>
      <c r="BH45">
        <f t="shared" si="24"/>
        <v>-0.52966320183646276</v>
      </c>
      <c r="BI45">
        <f t="shared" si="25"/>
        <v>-0.42842212435680799</v>
      </c>
      <c r="BJ45">
        <f t="shared" si="26"/>
        <v>-0.18159307184021914</v>
      </c>
      <c r="BK45">
        <f t="shared" si="27"/>
        <v>-0.47938349938399821</v>
      </c>
      <c r="BL45">
        <f t="shared" si="28"/>
        <v>-0.84952520862054492</v>
      </c>
    </row>
    <row r="46" spans="1:64" s="11" customFormat="1">
      <c r="A46" s="11" t="s">
        <v>134</v>
      </c>
      <c r="B46" s="11" t="s">
        <v>135</v>
      </c>
      <c r="C46" s="11">
        <v>2013</v>
      </c>
      <c r="D46" s="39">
        <f>681615638+21730392</f>
        <v>703346030</v>
      </c>
      <c r="E46" s="39">
        <f>D46+144398335+26447284+236143312+48038486</f>
        <v>1158373447</v>
      </c>
      <c r="F46" s="39">
        <v>1174501218</v>
      </c>
      <c r="G46" s="39">
        <v>549327078</v>
      </c>
      <c r="H46" s="39">
        <v>1375374070</v>
      </c>
      <c r="I46" s="39">
        <v>-751585285</v>
      </c>
      <c r="J46" s="39">
        <f>K46-(I46+1782610408)</f>
        <v>691536569</v>
      </c>
      <c r="K46" s="39">
        <v>1722561692</v>
      </c>
      <c r="L46" s="39">
        <v>3639836932</v>
      </c>
      <c r="M46" s="17">
        <v>1924701148</v>
      </c>
      <c r="N46" s="17">
        <v>2734723020</v>
      </c>
      <c r="O46" s="17">
        <f>2775708240+744067990+1758865527+152850515</f>
        <v>5431492272</v>
      </c>
      <c r="P46" s="17">
        <v>5381595886</v>
      </c>
      <c r="Q46" s="17">
        <f>H46</f>
        <v>1375374070</v>
      </c>
      <c r="R46" s="17">
        <v>49896386</v>
      </c>
      <c r="S46" s="40">
        <v>626011</v>
      </c>
      <c r="T46" s="41">
        <v>3918440314.985055</v>
      </c>
      <c r="U46" s="41">
        <v>932200993</v>
      </c>
      <c r="V46" s="41">
        <v>572479000</v>
      </c>
      <c r="W46" s="41">
        <v>28501222000</v>
      </c>
      <c r="X46" s="19">
        <f t="shared" si="1"/>
        <v>1.2803774985219281</v>
      </c>
      <c r="Y46" s="20">
        <f t="shared" si="2"/>
        <v>2.1087135395135208</v>
      </c>
      <c r="Z46" s="20">
        <f t="shared" si="3"/>
        <v>2.138072680262086</v>
      </c>
      <c r="AA46" s="20">
        <f t="shared" si="4"/>
        <v>1.0092716709052427</v>
      </c>
      <c r="AB46" s="20">
        <f t="shared" si="5"/>
        <v>79.705286328834475</v>
      </c>
      <c r="AC46" s="20">
        <f t="shared" si="6"/>
        <v>-1.6497639076101335E-2</v>
      </c>
      <c r="AD46" s="20">
        <f t="shared" si="7"/>
        <v>0.37786694725476783</v>
      </c>
      <c r="AE46" s="20">
        <f t="shared" si="8"/>
        <v>2197.0445726992016</v>
      </c>
      <c r="AF46" s="20">
        <f t="shared" si="9"/>
        <v>9.5951079571254871E-2</v>
      </c>
      <c r="AG46" s="20">
        <f t="shared" si="10"/>
        <v>0.19057050508220313</v>
      </c>
      <c r="AH46" s="20">
        <f t="shared" si="11"/>
        <v>0.18881982976028186</v>
      </c>
      <c r="AI46" s="21">
        <f t="shared" si="12"/>
        <v>2.0086121219644548E-2</v>
      </c>
      <c r="AJ46" s="21">
        <f t="shared" si="29"/>
        <v>0.13748323896375583</v>
      </c>
      <c r="AK46" s="21">
        <f t="shared" si="35"/>
        <v>3.2707404370240688E-2</v>
      </c>
      <c r="AL46">
        <f t="shared" si="37"/>
        <v>2.6464341675425072</v>
      </c>
      <c r="AM46">
        <f t="shared" si="37"/>
        <v>4.5515690142391594E-4</v>
      </c>
      <c r="AN46">
        <f t="shared" si="37"/>
        <v>10.421977579286988</v>
      </c>
      <c r="AO46">
        <f t="shared" si="37"/>
        <v>5.2474017402044826</v>
      </c>
      <c r="AP46">
        <f t="shared" si="37"/>
        <v>5.2960539222472569</v>
      </c>
      <c r="AQ46">
        <f t="shared" si="37"/>
        <v>49.785620083880808</v>
      </c>
      <c r="AR46">
        <f t="shared" si="37"/>
        <v>7.2736139149560337</v>
      </c>
      <c r="AS46">
        <f t="shared" si="36"/>
        <v>30.574116755955867</v>
      </c>
      <c r="AT46">
        <f t="shared" si="14"/>
        <v>-0.43862927330680573</v>
      </c>
      <c r="AU46">
        <f t="shared" si="15"/>
        <v>-0.40465113071113967</v>
      </c>
      <c r="AV46">
        <f t="shared" si="16"/>
        <v>-0.5400541483156599</v>
      </c>
      <c r="AW46">
        <f t="shared" si="17"/>
        <v>-0.50721080923576289</v>
      </c>
      <c r="AX46">
        <f t="shared" si="18"/>
        <v>-0.30349867320013013</v>
      </c>
      <c r="AY46">
        <f t="shared" si="19"/>
        <v>-0.10611305606094383</v>
      </c>
      <c r="AZ46">
        <f t="shared" si="31"/>
        <v>-0.43158134431722639</v>
      </c>
      <c r="BA46">
        <f t="shared" si="32"/>
        <v>-0.2997034211350767</v>
      </c>
      <c r="BB46">
        <f t="shared" si="33"/>
        <v>-1.3221317984607179</v>
      </c>
      <c r="BC46">
        <f t="shared" si="34"/>
        <v>-1.3239760182030587</v>
      </c>
      <c r="BD46">
        <f t="shared" si="20"/>
        <v>-1.4990570094430102</v>
      </c>
      <c r="BE46">
        <f t="shared" si="21"/>
        <v>-0.14981070394773158</v>
      </c>
      <c r="BF46">
        <f t="shared" si="22"/>
        <v>2.1929913356998312</v>
      </c>
      <c r="BG46">
        <f t="shared" si="23"/>
        <v>-0.16617734387185898</v>
      </c>
      <c r="BH46">
        <f t="shared" si="24"/>
        <v>-6.8035999304465453E-2</v>
      </c>
      <c r="BI46">
        <f t="shared" si="25"/>
        <v>-0.26826735411210789</v>
      </c>
      <c r="BJ46">
        <f t="shared" si="26"/>
        <v>1.6541193778267631</v>
      </c>
      <c r="BK46">
        <f t="shared" si="27"/>
        <v>0.91531909655330124</v>
      </c>
      <c r="BL46">
        <f t="shared" si="28"/>
        <v>1.615335948320747</v>
      </c>
    </row>
    <row r="47" spans="1:64" s="11" customFormat="1">
      <c r="A47" s="11" t="s">
        <v>136</v>
      </c>
      <c r="B47" s="11" t="s">
        <v>137</v>
      </c>
      <c r="C47" s="11">
        <v>2013</v>
      </c>
      <c r="D47" s="14">
        <f>4133604+4177087</f>
        <v>8310691</v>
      </c>
      <c r="E47" s="14">
        <f>D47+3618167</f>
        <v>11928858</v>
      </c>
      <c r="F47" s="14">
        <f>E47+15301+329+214914+105735+9447+32307</f>
        <v>12306891</v>
      </c>
      <c r="G47" s="14">
        <f>M47-H47</f>
        <v>5643472</v>
      </c>
      <c r="H47" s="14">
        <f>824235+11322542</f>
        <v>12146777</v>
      </c>
      <c r="I47" s="14">
        <v>-1270106</v>
      </c>
      <c r="J47" s="14">
        <f>K47-(I47+20289189)</f>
        <v>1827312</v>
      </c>
      <c r="K47" s="15">
        <v>20846395</v>
      </c>
      <c r="L47" s="14">
        <v>40218658</v>
      </c>
      <c r="M47" s="17">
        <v>17790249</v>
      </c>
      <c r="N47" s="16">
        <f>(19859678-(74134+7532+306620))*1000</f>
        <v>19471392000</v>
      </c>
      <c r="O47" s="16">
        <f>(19859678+6325490+8820018+1814893)*1000</f>
        <v>36820079000</v>
      </c>
      <c r="P47" s="16">
        <f>35453594*1000</f>
        <v>35453594000</v>
      </c>
      <c r="Q47" s="16">
        <f>H47*1000</f>
        <v>12146777000</v>
      </c>
      <c r="R47" s="16">
        <f>1366485*1000</f>
        <v>1366485000</v>
      </c>
      <c r="S47" s="40">
        <v>8185867</v>
      </c>
      <c r="T47" s="41">
        <v>83013479763.686707</v>
      </c>
      <c r="U47" s="41">
        <v>3676000000</v>
      </c>
      <c r="V47" s="41">
        <v>6991929000</v>
      </c>
      <c r="W47" s="41">
        <v>403424740000</v>
      </c>
      <c r="X47" s="19">
        <f t="shared" si="1"/>
        <v>1.4726202238621897</v>
      </c>
      <c r="Y47" s="20">
        <f t="shared" si="2"/>
        <v>2.113744517559403</v>
      </c>
      <c r="Z47" s="20">
        <f t="shared" si="3"/>
        <v>2.1807304085144747</v>
      </c>
      <c r="AA47" s="20">
        <f t="shared" si="4"/>
        <v>1.0385429189492044</v>
      </c>
      <c r="AB47" s="20">
        <f t="shared" si="5"/>
        <v>166.93222599389901</v>
      </c>
      <c r="AC47" s="20">
        <f t="shared" si="6"/>
        <v>1.3854415530224803E-2</v>
      </c>
      <c r="AD47" s="20">
        <f t="shared" si="7"/>
        <v>0.30201845621005058</v>
      </c>
      <c r="AE47" s="20">
        <f t="shared" si="8"/>
        <v>1483.871775585897</v>
      </c>
      <c r="AF47" s="20">
        <f t="shared" si="9"/>
        <v>4.8265240252742057E-2</v>
      </c>
      <c r="AG47" s="20">
        <f t="shared" si="10"/>
        <v>9.126876799871024E-2</v>
      </c>
      <c r="AH47" s="20">
        <f t="shared" si="11"/>
        <v>8.7881556297216681E-2</v>
      </c>
      <c r="AI47" s="21">
        <f t="shared" si="12"/>
        <v>1.7331433367224827E-2</v>
      </c>
      <c r="AJ47" s="21">
        <f t="shared" si="29"/>
        <v>0.20577191117155261</v>
      </c>
      <c r="AK47" s="21">
        <f t="shared" si="35"/>
        <v>9.1119845550374518E-3</v>
      </c>
      <c r="AL47">
        <f t="shared" si="37"/>
        <v>3.3110559286632166</v>
      </c>
      <c r="AM47">
        <f t="shared" si="37"/>
        <v>6.7391267658902443E-4</v>
      </c>
      <c r="AN47">
        <f t="shared" si="37"/>
        <v>20.718844343537434</v>
      </c>
      <c r="AO47">
        <f t="shared" si="37"/>
        <v>10.956650581874092</v>
      </c>
      <c r="AP47">
        <f t="shared" si="37"/>
        <v>11.378951877206017</v>
      </c>
      <c r="AQ47">
        <f t="shared" si="37"/>
        <v>57.698632237255268</v>
      </c>
      <c r="AR47">
        <f t="shared" si="37"/>
        <v>4.8597497797758082</v>
      </c>
      <c r="AS47">
        <f t="shared" si="36"/>
        <v>109.74557671381937</v>
      </c>
      <c r="AT47">
        <f t="shared" si="14"/>
        <v>-0.34957438609843194</v>
      </c>
      <c r="AU47">
        <f t="shared" si="15"/>
        <v>-0.40242312136509467</v>
      </c>
      <c r="AV47">
        <f t="shared" si="16"/>
        <v>-0.52130568035469627</v>
      </c>
      <c r="AW47">
        <f t="shared" si="17"/>
        <v>-0.2408589222115404</v>
      </c>
      <c r="AX47">
        <f t="shared" si="18"/>
        <v>-0.23612061312543289</v>
      </c>
      <c r="AY47">
        <f t="shared" si="19"/>
        <v>-3.0411923727199305E-2</v>
      </c>
      <c r="AZ47">
        <f t="shared" si="31"/>
        <v>-0.31339824314986942</v>
      </c>
      <c r="BA47">
        <f t="shared" si="32"/>
        <v>3.8864313839386468E-2</v>
      </c>
      <c r="BB47">
        <f t="shared" si="33"/>
        <v>0.49647837498815872</v>
      </c>
      <c r="BC47">
        <f t="shared" si="34"/>
        <v>1.7891104908769202</v>
      </c>
      <c r="BD47">
        <f t="shared" si="20"/>
        <v>1.764638418843389</v>
      </c>
      <c r="BE47">
        <f t="shared" si="21"/>
        <v>-0.13196502200366253</v>
      </c>
      <c r="BF47">
        <f t="shared" si="22"/>
        <v>0.58082524640348365</v>
      </c>
      <c r="BG47">
        <f t="shared" si="23"/>
        <v>-0.15023474233370776</v>
      </c>
      <c r="BH47">
        <f t="shared" si="24"/>
        <v>-0.26068107230680471</v>
      </c>
      <c r="BI47">
        <f t="shared" si="25"/>
        <v>-0.60357334005199514</v>
      </c>
      <c r="BJ47">
        <f t="shared" si="26"/>
        <v>-0.63374220430083728</v>
      </c>
      <c r="BK47">
        <f t="shared" si="27"/>
        <v>-0.92046003254635966</v>
      </c>
      <c r="BL47">
        <f t="shared" si="28"/>
        <v>-1.2068808338294625</v>
      </c>
    </row>
    <row r="48" spans="1:64" s="11" customFormat="1">
      <c r="A48" s="11" t="s">
        <v>138</v>
      </c>
      <c r="B48" s="11" t="s">
        <v>139</v>
      </c>
      <c r="C48" s="11">
        <v>2013</v>
      </c>
      <c r="D48" s="14">
        <v>9036253</v>
      </c>
      <c r="E48" s="14">
        <f>D48+3303301+3013380</f>
        <v>15352934</v>
      </c>
      <c r="F48" s="14">
        <f>E48+4231353+161130</f>
        <v>19745417</v>
      </c>
      <c r="G48" s="14">
        <f>M48-H48</f>
        <v>5497306</v>
      </c>
      <c r="H48" s="14">
        <f>3355265+49994558</f>
        <v>53349823</v>
      </c>
      <c r="I48" s="14">
        <v>-8955878</v>
      </c>
      <c r="J48" s="14">
        <f>K48-(I48+20445853)</f>
        <v>9993073</v>
      </c>
      <c r="K48" s="15">
        <v>21483048</v>
      </c>
      <c r="L48" s="14">
        <v>80314329</v>
      </c>
      <c r="M48" s="17">
        <v>58847129</v>
      </c>
      <c r="N48" s="16">
        <f>(18014326-920139)*1000</f>
        <v>17094187000</v>
      </c>
      <c r="O48" s="16">
        <f>(18014326+11915258+12897106+996861)*1000</f>
        <v>43823551000</v>
      </c>
      <c r="P48" s="16">
        <f>42919435*1000</f>
        <v>42919435000</v>
      </c>
      <c r="Q48" s="16">
        <f>H48*1000</f>
        <v>53349823000</v>
      </c>
      <c r="R48" s="16">
        <f>966705*1000</f>
        <v>966705000</v>
      </c>
      <c r="S48" s="40">
        <v>6897012</v>
      </c>
      <c r="T48" s="41">
        <v>65145101850.412872</v>
      </c>
      <c r="U48" s="41">
        <v>3706856000</v>
      </c>
      <c r="V48" s="41">
        <v>23054000000</v>
      </c>
      <c r="W48" s="41">
        <v>332654857000</v>
      </c>
      <c r="X48" s="19">
        <f t="shared" si="1"/>
        <v>1.6437602345585274</v>
      </c>
      <c r="Y48" s="20">
        <f t="shared" si="2"/>
        <v>2.7928105148230786</v>
      </c>
      <c r="Z48" s="20">
        <f t="shared" si="3"/>
        <v>3.5918351643514113</v>
      </c>
      <c r="AA48" s="20">
        <f t="shared" si="4"/>
        <v>1.0210654217605615</v>
      </c>
      <c r="AB48" s="20">
        <f t="shared" si="5"/>
        <v>140.16287053002083</v>
      </c>
      <c r="AC48" s="20">
        <f t="shared" si="6"/>
        <v>1.2914196170399432E-2</v>
      </c>
      <c r="AD48" s="20">
        <f t="shared" si="7"/>
        <v>0.66426282413440818</v>
      </c>
      <c r="AE48" s="20">
        <f t="shared" si="8"/>
        <v>7735.2080872122597</v>
      </c>
      <c r="AF48" s="20">
        <f t="shared" si="9"/>
        <v>5.1387155907361363E-2</v>
      </c>
      <c r="AG48" s="20">
        <f t="shared" si="10"/>
        <v>0.13173879796981289</v>
      </c>
      <c r="AH48" s="20">
        <f t="shared" si="11"/>
        <v>0.12902091791793679</v>
      </c>
      <c r="AI48" s="21">
        <f t="shared" si="12"/>
        <v>6.9303061461086682E-2</v>
      </c>
      <c r="AJ48" s="21">
        <f t="shared" si="29"/>
        <v>0.19583391157403984</v>
      </c>
      <c r="AK48" s="21">
        <f t="shared" si="35"/>
        <v>1.1143249292764723E-2</v>
      </c>
      <c r="AL48">
        <f t="shared" si="37"/>
        <v>1.5054282185715968</v>
      </c>
      <c r="AM48">
        <f t="shared" si="37"/>
        <v>1.2927900435583451E-4</v>
      </c>
      <c r="AN48">
        <f t="shared" si="37"/>
        <v>19.460115710679894</v>
      </c>
      <c r="AO48">
        <f t="shared" si="37"/>
        <v>7.5907782324622675</v>
      </c>
      <c r="AP48">
        <f t="shared" si="37"/>
        <v>7.7506811774199722</v>
      </c>
      <c r="AQ48">
        <f t="shared" si="37"/>
        <v>14.42937698447124</v>
      </c>
      <c r="AR48">
        <f t="shared" si="37"/>
        <v>5.1063679010564282</v>
      </c>
      <c r="AS48">
        <f t="shared" si="36"/>
        <v>89.740431513929863</v>
      </c>
      <c r="AT48">
        <f t="shared" si="14"/>
        <v>-0.2702951607211046</v>
      </c>
      <c r="AU48">
        <f t="shared" si="15"/>
        <v>-0.10169324842852445</v>
      </c>
      <c r="AV48">
        <f t="shared" si="16"/>
        <v>9.8887972430618337E-2</v>
      </c>
      <c r="AW48">
        <f t="shared" si="17"/>
        <v>-0.39989431249159002</v>
      </c>
      <c r="AX48">
        <f t="shared" si="18"/>
        <v>-0.25679848222793566</v>
      </c>
      <c r="AY48">
        <f t="shared" si="19"/>
        <v>-3.2756927092014491E-2</v>
      </c>
      <c r="AZ48">
        <f t="shared" si="31"/>
        <v>-0.63447512449138177</v>
      </c>
      <c r="BA48">
        <f t="shared" si="32"/>
        <v>-0.80406378101726683</v>
      </c>
      <c r="BB48">
        <f t="shared" si="33"/>
        <v>0.27416446632676461</v>
      </c>
      <c r="BC48">
        <f t="shared" si="34"/>
        <v>-4.6201315076002662E-2</v>
      </c>
      <c r="BD48">
        <f t="shared" si="20"/>
        <v>-0.18206043804340072</v>
      </c>
      <c r="BE48">
        <f t="shared" si="21"/>
        <v>-0.22954725140395932</v>
      </c>
      <c r="BF48">
        <f t="shared" si="22"/>
        <v>0.74553599641630675</v>
      </c>
      <c r="BG48">
        <f t="shared" si="23"/>
        <v>-0.15426313916767345</v>
      </c>
      <c r="BH48">
        <f t="shared" si="24"/>
        <v>0.65937141314517222</v>
      </c>
      <c r="BI48">
        <f t="shared" si="25"/>
        <v>2.3355607574571651</v>
      </c>
      <c r="BJ48">
        <f t="shared" si="26"/>
        <v>-0.48395956461322354</v>
      </c>
      <c r="BK48">
        <f t="shared" si="27"/>
        <v>-0.17229551340485083</v>
      </c>
      <c r="BL48">
        <f t="shared" si="28"/>
        <v>-5.663135174943857E-2</v>
      </c>
    </row>
    <row r="49" spans="1:64" s="11" customFormat="1">
      <c r="A49" s="11" t="s">
        <v>140</v>
      </c>
      <c r="B49" s="11" t="s">
        <v>141</v>
      </c>
      <c r="C49" s="11">
        <v>2013</v>
      </c>
      <c r="D49" s="14">
        <f>3804223+1055376</f>
        <v>4859599</v>
      </c>
      <c r="E49" s="14">
        <f>D49+908364</f>
        <v>5767963</v>
      </c>
      <c r="F49" s="14">
        <v>6563763</v>
      </c>
      <c r="G49" s="14">
        <v>3207109</v>
      </c>
      <c r="H49" s="14">
        <v>4534428</v>
      </c>
      <c r="I49" s="14">
        <v>-144393</v>
      </c>
      <c r="J49" s="14">
        <f>K49-(I49+8624206)</f>
        <v>2199856</v>
      </c>
      <c r="K49" s="15">
        <v>10679669</v>
      </c>
      <c r="L49" s="14">
        <v>18420063</v>
      </c>
      <c r="M49" s="17">
        <v>7741537</v>
      </c>
      <c r="N49" s="16">
        <f>(1771481+1198983+923575+203421+605768+304693)*1000</f>
        <v>5007921000</v>
      </c>
      <c r="O49" s="16">
        <f>(5776554+1542701+4084995+543280)*1000</f>
        <v>11947530000</v>
      </c>
      <c r="P49" s="16">
        <f>11731089*1000</f>
        <v>11731089000</v>
      </c>
      <c r="Q49" s="16">
        <f>H49*1000</f>
        <v>4534428000</v>
      </c>
      <c r="R49" s="16">
        <f>216441*1000</f>
        <v>216441000</v>
      </c>
      <c r="S49" s="40">
        <v>1855413</v>
      </c>
      <c r="T49" s="41">
        <v>19221373459.641113</v>
      </c>
      <c r="U49" s="41">
        <v>3263000000</v>
      </c>
      <c r="V49" s="41">
        <v>3494545000</v>
      </c>
      <c r="W49" s="41">
        <v>65888889000</v>
      </c>
      <c r="X49" s="19">
        <f t="shared" si="1"/>
        <v>1.5152584461582066</v>
      </c>
      <c r="Y49" s="20">
        <f t="shared" si="2"/>
        <v>1.7984929729547701</v>
      </c>
      <c r="Z49" s="20">
        <f t="shared" si="3"/>
        <v>2.046629222767296</v>
      </c>
      <c r="AA49" s="20">
        <f t="shared" si="4"/>
        <v>1.0184502052622737</v>
      </c>
      <c r="AB49" s="20">
        <f t="shared" si="5"/>
        <v>116.65381238570603</v>
      </c>
      <c r="AC49" s="20">
        <f t="shared" si="6"/>
        <v>0.11158827198365173</v>
      </c>
      <c r="AD49" s="20">
        <f t="shared" si="7"/>
        <v>0.2461678876994069</v>
      </c>
      <c r="AE49" s="20">
        <f t="shared" si="8"/>
        <v>2443.8914678295346</v>
      </c>
      <c r="AF49" s="20">
        <f t="shared" si="9"/>
        <v>7.6005546246196376E-2</v>
      </c>
      <c r="AG49" s="20">
        <f t="shared" si="10"/>
        <v>0.18132844826082892</v>
      </c>
      <c r="AH49" s="20">
        <f t="shared" si="11"/>
        <v>0.17804350897463153</v>
      </c>
      <c r="AI49" s="21">
        <f t="shared" si="12"/>
        <v>5.3036939202298586E-2</v>
      </c>
      <c r="AJ49" s="21">
        <f t="shared" si="29"/>
        <v>0.29172404864257329</v>
      </c>
      <c r="AK49" s="21">
        <f t="shared" si="35"/>
        <v>4.9522765515138678E-2</v>
      </c>
      <c r="AL49">
        <f t="shared" si="37"/>
        <v>4.0622682728670521</v>
      </c>
      <c r="AM49">
        <f t="shared" si="37"/>
        <v>4.0918347363768921E-4</v>
      </c>
      <c r="AN49">
        <f t="shared" si="37"/>
        <v>13.156934584231662</v>
      </c>
      <c r="AO49">
        <f t="shared" si="37"/>
        <v>5.5148544510873796</v>
      </c>
      <c r="AP49">
        <f t="shared" si="37"/>
        <v>5.6166046477015046</v>
      </c>
      <c r="AQ49">
        <f t="shared" si="37"/>
        <v>18.854783383816777</v>
      </c>
      <c r="AR49">
        <f t="shared" si="37"/>
        <v>3.4278970302692526</v>
      </c>
      <c r="AS49">
        <f t="shared" si="36"/>
        <v>20.192733374195523</v>
      </c>
      <c r="AT49">
        <f t="shared" si="14"/>
        <v>-0.32982257457673941</v>
      </c>
      <c r="AU49">
        <f t="shared" si="15"/>
        <v>-0.54203481939449338</v>
      </c>
      <c r="AV49">
        <f t="shared" si="16"/>
        <v>-0.5802443976167303</v>
      </c>
      <c r="AW49">
        <f t="shared" si="17"/>
        <v>-0.42369131111117991</v>
      </c>
      <c r="AX49">
        <f t="shared" si="18"/>
        <v>-0.27495794922321765</v>
      </c>
      <c r="AY49">
        <f t="shared" si="19"/>
        <v>0.21334632252101399</v>
      </c>
      <c r="AZ49">
        <f t="shared" si="31"/>
        <v>-0.17981759673301997</v>
      </c>
      <c r="BA49">
        <f t="shared" si="32"/>
        <v>-0.37085637379585507</v>
      </c>
      <c r="BB49">
        <f t="shared" si="33"/>
        <v>-0.83908965107602085</v>
      </c>
      <c r="BC49">
        <f t="shared" si="34"/>
        <v>-1.1781418727390245</v>
      </c>
      <c r="BD49">
        <f t="shared" si="20"/>
        <v>-1.3270699162934245</v>
      </c>
      <c r="BE49">
        <f t="shared" si="21"/>
        <v>-0.21956693119905604</v>
      </c>
      <c r="BF49">
        <f t="shared" si="22"/>
        <v>-0.37547731179656846</v>
      </c>
      <c r="BG49">
        <f t="shared" si="23"/>
        <v>-0.16826782267265761</v>
      </c>
      <c r="BH49">
        <f t="shared" si="24"/>
        <v>-0.40253408348420344</v>
      </c>
      <c r="BI49">
        <f t="shared" si="25"/>
        <v>-0.15220958819212374</v>
      </c>
      <c r="BJ49">
        <f t="shared" si="26"/>
        <v>0.69717660232797052</v>
      </c>
      <c r="BK49">
        <f t="shared" si="27"/>
        <v>0.74446231679358155</v>
      </c>
      <c r="BL49">
        <f t="shared" si="28"/>
        <v>1.3140318708121785</v>
      </c>
    </row>
    <row r="50" spans="1:64" s="11" customFormat="1">
      <c r="A50" s="11" t="s">
        <v>142</v>
      </c>
      <c r="B50" s="11" t="s">
        <v>143</v>
      </c>
      <c r="C50" s="11">
        <v>2013</v>
      </c>
      <c r="D50" s="14">
        <f>4775443+2216082</f>
        <v>6991525</v>
      </c>
      <c r="E50" s="14">
        <f>D50+6620623</f>
        <v>13612148</v>
      </c>
      <c r="F50" s="14">
        <f>E50+100115+202843+1222</f>
        <v>13916328</v>
      </c>
      <c r="G50" s="14">
        <f>M50-H50</f>
        <v>8004969</v>
      </c>
      <c r="H50" s="14">
        <f>1179489+14433840</f>
        <v>15613329</v>
      </c>
      <c r="I50" s="14">
        <v>-8401500</v>
      </c>
      <c r="J50" s="14">
        <f>K50-(I50+20668297)</f>
        <v>5037484</v>
      </c>
      <c r="K50" s="15">
        <v>17304281</v>
      </c>
      <c r="L50" s="14">
        <v>40781808</v>
      </c>
      <c r="M50" s="17">
        <v>23618298</v>
      </c>
      <c r="N50" s="16">
        <f>(15615771-(17388+3046))*1000</f>
        <v>15595337000</v>
      </c>
      <c r="O50" s="17">
        <f>(15615771+9437128+9548477+844784)*1000</f>
        <v>35446160000</v>
      </c>
      <c r="P50" s="16">
        <f>33045124*1000</f>
        <v>33045124000</v>
      </c>
      <c r="Q50" s="16">
        <f>H50*1000</f>
        <v>15613329000</v>
      </c>
      <c r="R50" s="16">
        <f>2401036*1000</f>
        <v>2401036000</v>
      </c>
      <c r="S50" s="40">
        <v>5726398</v>
      </c>
      <c r="T50" s="41">
        <v>30424099060.414261</v>
      </c>
      <c r="U50" s="41">
        <v>1171843654</v>
      </c>
      <c r="V50" s="41">
        <v>13751921000</v>
      </c>
      <c r="W50" s="41">
        <v>248335453000</v>
      </c>
      <c r="X50" s="19">
        <f t="shared" si="1"/>
        <v>0.87339813558303603</v>
      </c>
      <c r="Y50" s="20">
        <f t="shared" si="2"/>
        <v>1.7004623003536927</v>
      </c>
      <c r="Z50" s="20">
        <f t="shared" si="3"/>
        <v>1.7384611982882132</v>
      </c>
      <c r="AA50" s="20">
        <f t="shared" si="4"/>
        <v>1.0726593127627544</v>
      </c>
      <c r="AB50" s="20">
        <f t="shared" si="5"/>
        <v>419.29254655369743</v>
      </c>
      <c r="AC50" s="20">
        <f t="shared" si="6"/>
        <v>-8.2488152560573083E-2</v>
      </c>
      <c r="AD50" s="20">
        <f t="shared" si="7"/>
        <v>0.38285033856272382</v>
      </c>
      <c r="AE50" s="20">
        <f t="shared" si="8"/>
        <v>2726.5532364323963</v>
      </c>
      <c r="AF50" s="20">
        <f t="shared" si="9"/>
        <v>6.2799478735724459E-2</v>
      </c>
      <c r="AG50" s="20">
        <f t="shared" si="10"/>
        <v>0.14273499644048004</v>
      </c>
      <c r="AH50" s="20">
        <f t="shared" si="11"/>
        <v>0.13306647762452187</v>
      </c>
      <c r="AI50" s="21">
        <f t="shared" si="12"/>
        <v>5.5376390418165541E-2</v>
      </c>
      <c r="AJ50" s="21">
        <f t="shared" si="29"/>
        <v>0.12251210486814487</v>
      </c>
      <c r="AK50" s="21">
        <f t="shared" si="35"/>
        <v>4.7187932284481343E-3</v>
      </c>
      <c r="AL50">
        <f t="shared" si="37"/>
        <v>2.6119867198084408</v>
      </c>
      <c r="AM50">
        <f t="shared" si="37"/>
        <v>3.6676342373878114E-4</v>
      </c>
      <c r="AN50">
        <f t="shared" si="37"/>
        <v>15.923699051838378</v>
      </c>
      <c r="AO50">
        <f t="shared" si="37"/>
        <v>7.0059902962690463</v>
      </c>
      <c r="AP50">
        <f t="shared" si="37"/>
        <v>7.5150407364184799</v>
      </c>
      <c r="AQ50">
        <f t="shared" si="37"/>
        <v>18.058237318262663</v>
      </c>
      <c r="AR50">
        <f t="shared" si="37"/>
        <v>8.1624587307210348</v>
      </c>
      <c r="AS50">
        <f t="shared" si="36"/>
        <v>211.91858841606188</v>
      </c>
      <c r="AT50">
        <f t="shared" si="14"/>
        <v>-0.62715917059425497</v>
      </c>
      <c r="AU50">
        <f t="shared" si="15"/>
        <v>-0.58544849617112837</v>
      </c>
      <c r="AV50">
        <f t="shared" si="16"/>
        <v>-0.71568710800569757</v>
      </c>
      <c r="AW50">
        <f t="shared" si="17"/>
        <v>6.9581065077457691E-2</v>
      </c>
      <c r="AX50">
        <f t="shared" si="18"/>
        <v>-4.1186010301598144E-2</v>
      </c>
      <c r="AY50">
        <f t="shared" si="19"/>
        <v>-0.27070015432672473</v>
      </c>
      <c r="AZ50">
        <f t="shared" si="31"/>
        <v>-0.43770679256262773</v>
      </c>
      <c r="BA50">
        <f t="shared" si="32"/>
        <v>-0.43650977289325982</v>
      </c>
      <c r="BB50">
        <f t="shared" si="33"/>
        <v>-0.35042973893694052</v>
      </c>
      <c r="BC50">
        <f t="shared" si="34"/>
        <v>-0.36506908302977353</v>
      </c>
      <c r="BD50">
        <f t="shared" si="20"/>
        <v>-0.30849008320768084</v>
      </c>
      <c r="BE50">
        <f t="shared" si="21"/>
        <v>-0.22136332774997208</v>
      </c>
      <c r="BF50">
        <f t="shared" si="22"/>
        <v>2.7866309899532817</v>
      </c>
      <c r="BG50">
        <f t="shared" si="23"/>
        <v>-0.1296603634554018</v>
      </c>
      <c r="BH50">
        <f t="shared" si="24"/>
        <v>-5.5378848593920484E-2</v>
      </c>
      <c r="BI50">
        <f t="shared" si="25"/>
        <v>-1.9313068032456138E-2</v>
      </c>
      <c r="BJ50">
        <f t="shared" si="26"/>
        <v>6.3578558548493633E-2</v>
      </c>
      <c r="BK50">
        <f t="shared" si="27"/>
        <v>3.0989869557941561E-2</v>
      </c>
      <c r="BL50">
        <f t="shared" si="28"/>
        <v>5.6481802512040685E-2</v>
      </c>
    </row>
    <row r="51" spans="1:64" s="11" customFormat="1">
      <c r="A51" s="11" t="s">
        <v>144</v>
      </c>
      <c r="B51" s="44" t="s">
        <v>145</v>
      </c>
      <c r="C51" s="44">
        <v>2013</v>
      </c>
      <c r="D51" s="45">
        <f>16690259727</f>
        <v>16690259727</v>
      </c>
      <c r="E51" s="45">
        <f>D51+773103288+64397908+41360990</f>
        <v>17569121913</v>
      </c>
      <c r="F51" s="45">
        <f>E51+1959877815+83943488+252353156+614306036+1269458+366062752+2609816+21818612+4931358</f>
        <v>20876294404</v>
      </c>
      <c r="G51" s="45">
        <f>M51-H51</f>
        <v>3077890504</v>
      </c>
      <c r="H51" s="45">
        <f>315922352+1555822258+1622431+41584366</f>
        <v>1914951407</v>
      </c>
      <c r="I51" s="45">
        <v>4811482491</v>
      </c>
      <c r="J51" s="45">
        <f>K51-(I51+866831918)</f>
        <v>10838685945</v>
      </c>
      <c r="K51" s="45">
        <v>16517000354</v>
      </c>
      <c r="L51" s="45">
        <v>21779072793</v>
      </c>
      <c r="M51" s="46">
        <v>4992841911</v>
      </c>
      <c r="N51" s="46">
        <v>2820572974</v>
      </c>
      <c r="O51" s="46">
        <f>3646668942+760159216+1136100064+16774991</f>
        <v>5559703213</v>
      </c>
      <c r="P51" s="46">
        <v>4327541862</v>
      </c>
      <c r="Q51" s="46">
        <f>H51</f>
        <v>1914951407</v>
      </c>
      <c r="R51" s="46">
        <v>1232161351</v>
      </c>
      <c r="S51" s="47">
        <v>576412</v>
      </c>
      <c r="T51" s="48">
        <v>9808218337.268568</v>
      </c>
      <c r="U51" s="48">
        <v>243196254</v>
      </c>
      <c r="V51" s="48">
        <v>31246471</v>
      </c>
      <c r="W51" s="48">
        <v>30779416000</v>
      </c>
      <c r="X51" s="49">
        <f t="shared" si="1"/>
        <v>5.422629461739942</v>
      </c>
      <c r="Y51" s="49">
        <f t="shared" si="2"/>
        <v>5.7081698943374759</v>
      </c>
      <c r="Z51" s="49">
        <f t="shared" si="3"/>
        <v>6.7826631184148196</v>
      </c>
      <c r="AA51" s="49">
        <f t="shared" si="4"/>
        <v>1.284725460848702</v>
      </c>
      <c r="AB51" s="49">
        <f t="shared" si="5"/>
        <v>2137.6400057597689</v>
      </c>
      <c r="AC51" s="49">
        <f t="shared" si="6"/>
        <v>0.71858745249385048</v>
      </c>
      <c r="AD51" s="49">
        <f t="shared" si="7"/>
        <v>8.7926213627215727E-2</v>
      </c>
      <c r="AE51" s="49">
        <f t="shared" si="8"/>
        <v>3322.1921247302275</v>
      </c>
      <c r="AF51" s="49">
        <f t="shared" si="9"/>
        <v>9.1638287549055508E-2</v>
      </c>
      <c r="AG51" s="49">
        <f t="shared" si="10"/>
        <v>0.18063056209383571</v>
      </c>
      <c r="AH51" s="49">
        <f t="shared" si="11"/>
        <v>0.1405985695764988</v>
      </c>
      <c r="AI51" s="49">
        <f t="shared" si="12"/>
        <v>1.0151742645149603E-3</v>
      </c>
      <c r="AJ51" s="50">
        <f t="shared" si="29"/>
        <v>0.31866161259422754</v>
      </c>
      <c r="AK51" s="50">
        <f t="shared" si="35"/>
        <v>7.9012627789948973E-3</v>
      </c>
      <c r="AL51" s="51">
        <f t="shared" si="37"/>
        <v>11.373172558524354</v>
      </c>
      <c r="AM51" s="51">
        <f t="shared" si="37"/>
        <v>3.0100607142978015E-4</v>
      </c>
      <c r="AN51" s="51">
        <f t="shared" si="37"/>
        <v>10.91246930454351</v>
      </c>
      <c r="AO51" s="51">
        <f t="shared" si="37"/>
        <v>5.5361617015868569</v>
      </c>
      <c r="AP51" s="51">
        <f t="shared" si="37"/>
        <v>7.1124478934041093</v>
      </c>
      <c r="AQ51" s="51">
        <f t="shared" si="37"/>
        <v>985.05255201459386</v>
      </c>
      <c r="AR51" s="51">
        <f t="shared" si="37"/>
        <v>3.1381250846595217</v>
      </c>
      <c r="AS51" s="51">
        <f t="shared" si="36"/>
        <v>126.56204811444177</v>
      </c>
      <c r="AT51" s="51">
        <f t="shared" si="14"/>
        <v>1.4802354365027803</v>
      </c>
      <c r="AU51" s="51">
        <f t="shared" si="15"/>
        <v>1.189397248369497</v>
      </c>
      <c r="AV51" s="51">
        <f t="shared" si="16"/>
        <v>1.5012865087932561</v>
      </c>
      <c r="AW51" s="51">
        <f t="shared" si="17"/>
        <v>1.9992636885111545</v>
      </c>
      <c r="AX51" s="51">
        <f t="shared" si="18"/>
        <v>1.2861438121151905</v>
      </c>
      <c r="AY51" s="51">
        <f t="shared" si="19"/>
        <v>1.7272644373329116</v>
      </c>
      <c r="AZ51" s="51">
        <f t="shared" si="31"/>
        <v>1.1202080590019796</v>
      </c>
      <c r="BA51" s="51">
        <f t="shared" si="32"/>
        <v>-0.53828225324205403</v>
      </c>
      <c r="BB51" s="51">
        <f t="shared" si="33"/>
        <v>-1.2355022186121207</v>
      </c>
      <c r="BC51" s="51">
        <f t="shared" si="34"/>
        <v>-1.1665236518635596</v>
      </c>
      <c r="BD51" s="51">
        <f t="shared" si="20"/>
        <v>-0.52449574875327909</v>
      </c>
      <c r="BE51" s="51">
        <f t="shared" si="21"/>
        <v>1.9594336490921194</v>
      </c>
      <c r="BF51" s="51">
        <f t="shared" si="22"/>
        <v>-0.56900953986728975</v>
      </c>
      <c r="BG51" s="51">
        <f t="shared" si="23"/>
        <v>-0.14684844248575088</v>
      </c>
      <c r="BH51" s="51">
        <f t="shared" si="24"/>
        <v>-0.80444687612865051</v>
      </c>
      <c r="BI51" s="51">
        <f t="shared" si="25"/>
        <v>0.26073306596655588</v>
      </c>
      <c r="BJ51" s="51">
        <f t="shared" si="26"/>
        <v>1.4472011119367532</v>
      </c>
      <c r="BK51" s="51">
        <f t="shared" si="27"/>
        <v>0.73156058015249659</v>
      </c>
      <c r="BL51" s="51">
        <f t="shared" si="28"/>
        <v>0.26707779927580694</v>
      </c>
    </row>
    <row r="52" spans="1:64">
      <c r="H52" s="53">
        <f>AVERAGE(H2:H51)</f>
        <v>1761704711.2791886</v>
      </c>
      <c r="Q52" s="54">
        <f>AVERAGE(Q2:Q51)</f>
        <v>19146126187.979191</v>
      </c>
      <c r="T52" s="18">
        <f>AVERAGE(T2:T51)</f>
        <v>78794224104.37561</v>
      </c>
      <c r="U52" s="18">
        <f>AVERAGE(U2:U51)</f>
        <v>10839755791.061224</v>
      </c>
      <c r="X52" s="19">
        <f>AVERAGE(X2:X51)</f>
        <v>2.2272462168800367</v>
      </c>
      <c r="Y52" s="19">
        <f t="shared" ref="Y52:AJ52" si="39">AVERAGE(Y2:Y51)</f>
        <v>3.0224399376827891</v>
      </c>
      <c r="Z52" s="19">
        <f>AVERAGE(Z2:Z51)</f>
        <v>3.366838846563843</v>
      </c>
      <c r="AA52" s="19">
        <f t="shared" si="39"/>
        <v>1.0650125690591512</v>
      </c>
      <c r="AB52" s="19">
        <f>AVERAGE(AB2:AB51)</f>
        <v>472.61152949323957</v>
      </c>
      <c r="AC52" s="19">
        <f t="shared" si="39"/>
        <v>2.6047950041463729E-2</v>
      </c>
      <c r="AD52" s="19">
        <f t="shared" si="39"/>
        <v>0.40465417728115149</v>
      </c>
      <c r="AE52" s="19">
        <f t="shared" si="39"/>
        <v>2767.6308053607827</v>
      </c>
      <c r="AF52" s="19">
        <f t="shared" si="39"/>
        <v>6.1474312497202852E-2</v>
      </c>
      <c r="AG52" s="19">
        <f t="shared" si="39"/>
        <v>0.14105867937688879</v>
      </c>
      <c r="AH52" s="19">
        <f t="shared" si="39"/>
        <v>0.13104637213025025</v>
      </c>
      <c r="AI52" s="21">
        <f>AVERAGE(AI2:AI51)</f>
        <v>4.0197973087100686E-2</v>
      </c>
      <c r="AJ52" s="19">
        <f t="shared" si="39"/>
        <v>0.28862057840340183</v>
      </c>
      <c r="AK52" s="19">
        <f>AVERAGE(AK2:AK51)</f>
        <v>3.6915673490450662E-2</v>
      </c>
      <c r="AT52">
        <f t="shared" si="14"/>
        <v>0</v>
      </c>
    </row>
    <row r="53" spans="1:64">
      <c r="B53" s="55" t="s">
        <v>146</v>
      </c>
      <c r="AB53" s="20"/>
    </row>
    <row r="54" spans="1:64">
      <c r="AB54" s="20"/>
    </row>
    <row r="56" spans="1:64">
      <c r="AG56" s="20"/>
    </row>
  </sheetData>
  <hyperlinks>
    <hyperlink ref="A12" r:id="rId1"/>
  </hyperlinks>
  <pageMargins left="0.75" right="0.75" top="1" bottom="1" header="0.5" footer="0.5"/>
  <legacy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Mercatus Center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Eileen Norcross</dc:creator>
  <cp:lastModifiedBy>Eileen Norcross</cp:lastModifiedBy>
  <dcterms:created xsi:type="dcterms:W3CDTF">2015-07-16T16:52:41Z</dcterms:created>
  <dcterms:modified xsi:type="dcterms:W3CDTF">2015-07-16T16:59:34Z</dcterms:modified>
</cp:coreProperties>
</file>