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ogonzalez\Documents\state fiscal rankings\2015\"/>
    </mc:Choice>
  </mc:AlternateContent>
  <bookViews>
    <workbookView xWindow="0" yWindow="0" windowWidth="20490" windowHeight="7620" tabRatio="501"/>
  </bookViews>
  <sheets>
    <sheet name="Dataset" sheetId="1" r:id="rId1"/>
    <sheet name="standardized values" sheetId="9" r:id="rId2"/>
    <sheet name="cash outliers" sheetId="12" state="hidden" r:id="rId3"/>
    <sheet name="rankings" sheetId="10" r:id="rId4"/>
  </sheets>
  <definedNames>
    <definedName name="_xlnm._FilterDatabase" localSheetId="0" hidden="1">Dataset!$B$1:$B$55</definedName>
    <definedName name="_xlnm._FilterDatabase" localSheetId="1" hidden="1">'standardized values'!$B$1:$B$52</definedName>
  </definedNames>
  <calcPr calcId="162913"/>
</workbook>
</file>

<file path=xl/calcChain.xml><?xml version="1.0" encoding="utf-8"?>
<calcChain xmlns="http://schemas.openxmlformats.org/spreadsheetml/2006/main">
  <c r="D12" i="1" l="1"/>
  <c r="T53" i="1" l="1"/>
  <c r="D2" i="12" l="1"/>
  <c r="D3" i="12"/>
  <c r="D4" i="12" s="1"/>
  <c r="D7" i="12"/>
  <c r="D8" i="12"/>
  <c r="W2" i="1" l="1"/>
  <c r="AI2" i="1" s="1"/>
  <c r="S2" i="1"/>
  <c r="O2" i="1" l="1"/>
  <c r="P2" i="1"/>
  <c r="N2" i="1"/>
  <c r="R2" i="1"/>
  <c r="AB2" i="1" s="1"/>
  <c r="I2" i="1"/>
  <c r="K2" i="1"/>
  <c r="J2" i="1" s="1"/>
  <c r="M2" i="1"/>
  <c r="L2" i="1"/>
  <c r="H2" i="1"/>
  <c r="Q2" i="1" s="1"/>
  <c r="D2" i="1" l="1"/>
  <c r="E2" i="1" s="1"/>
  <c r="F2" i="1" s="1"/>
  <c r="G2" i="1" s="1"/>
  <c r="X2" i="1" s="1"/>
  <c r="AG2" i="1" l="1"/>
  <c r="AD2" i="1"/>
  <c r="AK2" i="1" s="1"/>
  <c r="AE2" i="1"/>
  <c r="AF2" i="1"/>
  <c r="AC2" i="1"/>
  <c r="AA2" i="1"/>
  <c r="Z2" i="1"/>
  <c r="Y2" i="1"/>
  <c r="N11" i="12" l="1"/>
  <c r="N10" i="12"/>
  <c r="N9" i="12"/>
  <c r="N8" i="12"/>
  <c r="N7" i="12"/>
  <c r="N3" i="12"/>
  <c r="N4" i="12" s="1"/>
  <c r="N2" i="12"/>
  <c r="I11" i="12"/>
  <c r="I10" i="12"/>
  <c r="I9" i="12"/>
  <c r="I8" i="12"/>
  <c r="I7" i="12"/>
  <c r="I3" i="12"/>
  <c r="I4" i="12" s="1"/>
  <c r="I2" i="12"/>
  <c r="N47" i="12"/>
  <c r="D11" i="12"/>
  <c r="D10" i="12"/>
  <c r="D13" i="12" s="1"/>
  <c r="D9" i="12"/>
  <c r="I47" i="12"/>
  <c r="N51" i="12"/>
  <c r="N50" i="12"/>
  <c r="N49" i="12"/>
  <c r="N48" i="12"/>
  <c r="I50" i="12"/>
  <c r="I51" i="12"/>
  <c r="I49" i="12"/>
  <c r="I48" i="12"/>
  <c r="D50" i="12"/>
  <c r="D49" i="12"/>
  <c r="D48" i="12"/>
  <c r="D51" i="12"/>
  <c r="N13" i="12" l="1"/>
  <c r="I13" i="12"/>
  <c r="D16" i="12"/>
  <c r="D19" i="12" l="1"/>
  <c r="AR2" i="1" s="1"/>
  <c r="D18" i="12"/>
  <c r="N18" i="12"/>
  <c r="N15" i="12"/>
  <c r="N16" i="12"/>
  <c r="N19" i="12"/>
  <c r="I18" i="12"/>
  <c r="I15" i="12"/>
  <c r="I16" i="12"/>
  <c r="I19" i="12"/>
  <c r="D15" i="12"/>
  <c r="R51" i="1" l="1"/>
  <c r="Q51" i="1"/>
  <c r="P51" i="1"/>
  <c r="O51" i="1"/>
  <c r="N51" i="1"/>
  <c r="M51" i="1"/>
  <c r="L51" i="1"/>
  <c r="K51" i="1"/>
  <c r="I51" i="1"/>
  <c r="G51" i="1"/>
  <c r="D51" i="1"/>
  <c r="E51" i="1" s="1"/>
  <c r="F51" i="1" s="1"/>
  <c r="R50" i="1"/>
  <c r="Q50" i="1"/>
  <c r="P50" i="1"/>
  <c r="O50" i="1"/>
  <c r="N50" i="1"/>
  <c r="M50" i="1"/>
  <c r="G50" i="1" s="1"/>
  <c r="L50" i="1"/>
  <c r="K50" i="1"/>
  <c r="I50" i="1"/>
  <c r="D50" i="1"/>
  <c r="E50" i="1" s="1"/>
  <c r="F50" i="1" s="1"/>
  <c r="R49" i="1"/>
  <c r="Q49" i="1"/>
  <c r="P49" i="1"/>
  <c r="O49" i="1"/>
  <c r="N49" i="1"/>
  <c r="M49" i="1"/>
  <c r="L49" i="1"/>
  <c r="K49" i="1"/>
  <c r="I49" i="1"/>
  <c r="G49" i="1"/>
  <c r="F49" i="1"/>
  <c r="D49" i="1"/>
  <c r="E49" i="1" s="1"/>
  <c r="R48" i="1"/>
  <c r="Q48" i="1"/>
  <c r="P48" i="1"/>
  <c r="O48" i="1"/>
  <c r="N48" i="1"/>
  <c r="M48" i="1"/>
  <c r="G48" i="1" s="1"/>
  <c r="L48" i="1"/>
  <c r="K48" i="1"/>
  <c r="I48" i="1"/>
  <c r="D48" i="1"/>
  <c r="E48" i="1" s="1"/>
  <c r="F48" i="1" s="1"/>
  <c r="R47" i="1"/>
  <c r="Q47" i="1"/>
  <c r="P47" i="1"/>
  <c r="O47" i="1"/>
  <c r="N47" i="1"/>
  <c r="M47" i="1"/>
  <c r="L47" i="1"/>
  <c r="K47" i="1"/>
  <c r="I47" i="1"/>
  <c r="G47" i="1"/>
  <c r="D47" i="1"/>
  <c r="E47" i="1" s="1"/>
  <c r="F47" i="1" s="1"/>
  <c r="R46" i="1"/>
  <c r="Q46" i="1"/>
  <c r="P46" i="1"/>
  <c r="O46" i="1"/>
  <c r="N46" i="1"/>
  <c r="M46" i="1"/>
  <c r="L46" i="1"/>
  <c r="K46" i="1"/>
  <c r="I46" i="1"/>
  <c r="G46" i="1"/>
  <c r="F46" i="1"/>
  <c r="D46" i="1"/>
  <c r="E46" i="1" s="1"/>
  <c r="R45" i="1"/>
  <c r="Q45" i="1"/>
  <c r="P45" i="1"/>
  <c r="O45" i="1"/>
  <c r="N45" i="1"/>
  <c r="M45" i="1"/>
  <c r="L45" i="1"/>
  <c r="K45" i="1"/>
  <c r="I45" i="1"/>
  <c r="G45" i="1"/>
  <c r="D45" i="1"/>
  <c r="E45" i="1" s="1"/>
  <c r="F45" i="1" s="1"/>
  <c r="R44" i="1"/>
  <c r="Q44" i="1"/>
  <c r="P44" i="1"/>
  <c r="O44" i="1"/>
  <c r="N44" i="1"/>
  <c r="M44" i="1"/>
  <c r="L44" i="1"/>
  <c r="K44" i="1"/>
  <c r="I44" i="1"/>
  <c r="G44" i="1"/>
  <c r="F44" i="1"/>
  <c r="D44" i="1"/>
  <c r="E44" i="1" s="1"/>
  <c r="R43" i="1"/>
  <c r="Q43" i="1"/>
  <c r="P43" i="1"/>
  <c r="O43" i="1"/>
  <c r="N43" i="1"/>
  <c r="M43" i="1"/>
  <c r="L43" i="1"/>
  <c r="K43" i="1"/>
  <c r="I43" i="1"/>
  <c r="G43" i="1"/>
  <c r="D43" i="1"/>
  <c r="E43" i="1" s="1"/>
  <c r="F43" i="1" s="1"/>
  <c r="R42" i="1"/>
  <c r="Q42" i="1"/>
  <c r="P42" i="1"/>
  <c r="O42" i="1"/>
  <c r="N42" i="1"/>
  <c r="M42" i="1"/>
  <c r="G42" i="1" s="1"/>
  <c r="L42" i="1"/>
  <c r="K42" i="1"/>
  <c r="I42" i="1"/>
  <c r="D42" i="1"/>
  <c r="E42" i="1" s="1"/>
  <c r="F42" i="1" s="1"/>
  <c r="R41" i="1"/>
  <c r="Q41" i="1"/>
  <c r="P41" i="1"/>
  <c r="O41" i="1"/>
  <c r="N41" i="1"/>
  <c r="M41" i="1"/>
  <c r="L41" i="1"/>
  <c r="K41" i="1"/>
  <c r="I41" i="1"/>
  <c r="G41" i="1"/>
  <c r="D41" i="1"/>
  <c r="E41" i="1" s="1"/>
  <c r="F41" i="1" s="1"/>
  <c r="R40" i="1"/>
  <c r="Q40" i="1"/>
  <c r="P40" i="1"/>
  <c r="O40" i="1"/>
  <c r="N40" i="1"/>
  <c r="M40" i="1"/>
  <c r="L40" i="1"/>
  <c r="K40" i="1"/>
  <c r="I40" i="1"/>
  <c r="G40" i="1"/>
  <c r="F40" i="1"/>
  <c r="D40" i="1"/>
  <c r="E40" i="1" s="1"/>
  <c r="R39" i="1"/>
  <c r="Q39" i="1"/>
  <c r="P39" i="1"/>
  <c r="O39" i="1"/>
  <c r="N39" i="1"/>
  <c r="M39" i="1"/>
  <c r="K39" i="1"/>
  <c r="I39" i="1"/>
  <c r="G39" i="1"/>
  <c r="F39" i="1"/>
  <c r="D39" i="1"/>
  <c r="E39" i="1" s="1"/>
  <c r="R38" i="1"/>
  <c r="Q38" i="1"/>
  <c r="P38" i="1"/>
  <c r="O38" i="1"/>
  <c r="N38" i="1"/>
  <c r="L38" i="1"/>
  <c r="K38" i="1"/>
  <c r="I38" i="1"/>
  <c r="G38" i="1"/>
  <c r="F38" i="1"/>
  <c r="D38" i="1"/>
  <c r="E38" i="1" s="1"/>
  <c r="R37" i="1"/>
  <c r="Q37" i="1"/>
  <c r="P37" i="1"/>
  <c r="O37" i="1"/>
  <c r="N37" i="1"/>
  <c r="M37" i="1"/>
  <c r="L37" i="1"/>
  <c r="K37" i="1"/>
  <c r="I37" i="1"/>
  <c r="G37" i="1"/>
  <c r="F37" i="1"/>
  <c r="D37" i="1"/>
  <c r="E37" i="1" s="1"/>
  <c r="R36" i="1"/>
  <c r="Q36" i="1"/>
  <c r="P36" i="1"/>
  <c r="O36" i="1"/>
  <c r="N36" i="1"/>
  <c r="M36" i="1"/>
  <c r="L36" i="1"/>
  <c r="K36" i="1"/>
  <c r="I36" i="1"/>
  <c r="G36" i="1"/>
  <c r="D36" i="1"/>
  <c r="E36" i="1" s="1"/>
  <c r="F36" i="1" s="1"/>
  <c r="R35" i="1"/>
  <c r="Q35" i="1"/>
  <c r="P35" i="1"/>
  <c r="O35" i="1"/>
  <c r="N35" i="1"/>
  <c r="M35" i="1"/>
  <c r="G35" i="1" s="1"/>
  <c r="L35" i="1"/>
  <c r="K35" i="1"/>
  <c r="I35" i="1"/>
  <c r="D35" i="1"/>
  <c r="E35" i="1" s="1"/>
  <c r="F35" i="1" s="1"/>
  <c r="R34" i="1"/>
  <c r="Q34" i="1"/>
  <c r="P34" i="1"/>
  <c r="O34" i="1"/>
  <c r="N34" i="1"/>
  <c r="M34" i="1"/>
  <c r="L34" i="1"/>
  <c r="K34" i="1"/>
  <c r="I34" i="1"/>
  <c r="G34" i="1"/>
  <c r="D34" i="1"/>
  <c r="E34" i="1" s="1"/>
  <c r="F34" i="1" s="1"/>
  <c r="R33" i="1"/>
  <c r="Q33" i="1"/>
  <c r="P33" i="1"/>
  <c r="O33" i="1"/>
  <c r="N33" i="1"/>
  <c r="M33" i="1"/>
  <c r="L33" i="1"/>
  <c r="K33" i="1"/>
  <c r="I33" i="1"/>
  <c r="G33" i="1"/>
  <c r="D33" i="1"/>
  <c r="E33" i="1" s="1"/>
  <c r="F33" i="1" s="1"/>
  <c r="R32" i="1"/>
  <c r="Q32" i="1"/>
  <c r="P32" i="1"/>
  <c r="O32" i="1"/>
  <c r="N32" i="1"/>
  <c r="M32" i="1"/>
  <c r="L32" i="1"/>
  <c r="K32" i="1"/>
  <c r="I32" i="1"/>
  <c r="G32" i="1"/>
  <c r="F32" i="1"/>
  <c r="D32" i="1"/>
  <c r="E32" i="1" s="1"/>
  <c r="R31" i="1"/>
  <c r="Q31" i="1"/>
  <c r="P31" i="1"/>
  <c r="O31" i="1"/>
  <c r="N31" i="1"/>
  <c r="K31" i="1"/>
  <c r="I31" i="1"/>
  <c r="G31" i="1"/>
  <c r="M31" i="1" s="1"/>
  <c r="F31" i="1"/>
  <c r="L31" i="1" s="1"/>
  <c r="D31" i="1"/>
  <c r="E31" i="1" s="1"/>
  <c r="R30" i="1"/>
  <c r="Q30" i="1"/>
  <c r="P30" i="1"/>
  <c r="O30" i="1"/>
  <c r="N30" i="1"/>
  <c r="M30" i="1"/>
  <c r="L30" i="1"/>
  <c r="K30" i="1"/>
  <c r="I30" i="1"/>
  <c r="G30" i="1"/>
  <c r="F30" i="1"/>
  <c r="D30" i="1"/>
  <c r="E30" i="1" s="1"/>
  <c r="R29" i="1"/>
  <c r="Q29" i="1"/>
  <c r="P29" i="1"/>
  <c r="O29" i="1"/>
  <c r="N29" i="1"/>
  <c r="M29" i="1"/>
  <c r="G29" i="1" s="1"/>
  <c r="L29" i="1"/>
  <c r="K29" i="1"/>
  <c r="I29" i="1"/>
  <c r="D29" i="1"/>
  <c r="E29" i="1" s="1"/>
  <c r="F29" i="1" s="1"/>
  <c r="R28" i="1"/>
  <c r="Q28" i="1"/>
  <c r="P28" i="1"/>
  <c r="O28" i="1"/>
  <c r="N28" i="1"/>
  <c r="M28" i="1"/>
  <c r="L28" i="1"/>
  <c r="K28" i="1"/>
  <c r="I28" i="1"/>
  <c r="G28" i="1"/>
  <c r="D28" i="1"/>
  <c r="E28" i="1" s="1"/>
  <c r="F28" i="1" s="1"/>
  <c r="R27" i="1"/>
  <c r="Q27" i="1"/>
  <c r="P27" i="1"/>
  <c r="O27" i="1"/>
  <c r="N27" i="1"/>
  <c r="M27" i="1"/>
  <c r="G27" i="1" s="1"/>
  <c r="L27" i="1"/>
  <c r="K27" i="1"/>
  <c r="I27" i="1"/>
  <c r="D27" i="1"/>
  <c r="E27" i="1" s="1"/>
  <c r="F27" i="1" s="1"/>
  <c r="R26" i="1"/>
  <c r="Q26" i="1"/>
  <c r="P26" i="1"/>
  <c r="O26" i="1"/>
  <c r="N26" i="1"/>
  <c r="M26" i="1"/>
  <c r="L26" i="1"/>
  <c r="K26" i="1"/>
  <c r="I26" i="1"/>
  <c r="G26" i="1"/>
  <c r="D26" i="1"/>
  <c r="E26" i="1" s="1"/>
  <c r="F26" i="1" s="1"/>
  <c r="R25" i="1"/>
  <c r="Q25" i="1"/>
  <c r="P25" i="1"/>
  <c r="O25" i="1"/>
  <c r="N25" i="1"/>
  <c r="M25" i="1"/>
  <c r="L25" i="1"/>
  <c r="K25" i="1"/>
  <c r="I25" i="1"/>
  <c r="G25" i="1"/>
  <c r="F25" i="1"/>
  <c r="D25" i="1"/>
  <c r="E25" i="1" s="1"/>
  <c r="R24" i="1"/>
  <c r="Q24" i="1"/>
  <c r="P24" i="1"/>
  <c r="O24" i="1"/>
  <c r="N24" i="1"/>
  <c r="M24" i="1"/>
  <c r="L24" i="1"/>
  <c r="K24" i="1"/>
  <c r="J24" i="1"/>
  <c r="I24" i="1"/>
  <c r="G24" i="1"/>
  <c r="F24" i="1"/>
  <c r="D24" i="1"/>
  <c r="E24" i="1" s="1"/>
  <c r="R23" i="1"/>
  <c r="Q23" i="1"/>
  <c r="P23" i="1"/>
  <c r="O23" i="1"/>
  <c r="N23" i="1"/>
  <c r="M23" i="1"/>
  <c r="L23" i="1"/>
  <c r="K23" i="1"/>
  <c r="I23" i="1"/>
  <c r="G23" i="1"/>
  <c r="F23" i="1"/>
  <c r="D23" i="1"/>
  <c r="E23" i="1" s="1"/>
  <c r="R22" i="1"/>
  <c r="Q22" i="1"/>
  <c r="P22" i="1"/>
  <c r="O22" i="1"/>
  <c r="N22" i="1"/>
  <c r="M22" i="1"/>
  <c r="L22" i="1"/>
  <c r="K22" i="1"/>
  <c r="I22" i="1"/>
  <c r="G22" i="1"/>
  <c r="F22" i="1"/>
  <c r="D22" i="1"/>
  <c r="E22" i="1" s="1"/>
  <c r="R21" i="1"/>
  <c r="Q21" i="1"/>
  <c r="P21" i="1"/>
  <c r="O21" i="1"/>
  <c r="N21" i="1"/>
  <c r="M21" i="1"/>
  <c r="G21" i="1" s="1"/>
  <c r="L21" i="1"/>
  <c r="K21" i="1"/>
  <c r="I21" i="1"/>
  <c r="D21" i="1"/>
  <c r="E21" i="1" s="1"/>
  <c r="F21" i="1" s="1"/>
  <c r="R20" i="1"/>
  <c r="Q20" i="1"/>
  <c r="P20" i="1"/>
  <c r="O20" i="1"/>
  <c r="N20" i="1"/>
  <c r="L20" i="1"/>
  <c r="K20" i="1"/>
  <c r="I20" i="1"/>
  <c r="G20" i="1"/>
  <c r="D20" i="1"/>
  <c r="E20" i="1" s="1"/>
  <c r="Q19" i="1"/>
  <c r="P19" i="1"/>
  <c r="O19" i="1"/>
  <c r="N19" i="1"/>
  <c r="M19" i="1"/>
  <c r="L19" i="1"/>
  <c r="K19" i="1"/>
  <c r="I19" i="1"/>
  <c r="G19" i="1"/>
  <c r="D19" i="1"/>
  <c r="E19" i="1" s="1"/>
  <c r="F19" i="1" s="1"/>
  <c r="R18" i="1"/>
  <c r="Q18" i="1"/>
  <c r="P18" i="1"/>
  <c r="O18" i="1"/>
  <c r="N18" i="1"/>
  <c r="M18" i="1"/>
  <c r="L18" i="1"/>
  <c r="K18" i="1"/>
  <c r="I18" i="1"/>
  <c r="G18" i="1"/>
  <c r="F18" i="1"/>
  <c r="D18" i="1"/>
  <c r="E18" i="1" s="1"/>
  <c r="R17" i="1"/>
  <c r="Q17" i="1"/>
  <c r="P17" i="1"/>
  <c r="O17" i="1"/>
  <c r="N17" i="1"/>
  <c r="M17" i="1"/>
  <c r="L17" i="1"/>
  <c r="K17" i="1"/>
  <c r="I17" i="1"/>
  <c r="G17" i="1"/>
  <c r="D17" i="1"/>
  <c r="E17" i="1" s="1"/>
  <c r="F17" i="1" s="1"/>
  <c r="R16" i="1"/>
  <c r="Q16" i="1"/>
  <c r="P16" i="1"/>
  <c r="O16" i="1"/>
  <c r="N16" i="1"/>
  <c r="M16" i="1"/>
  <c r="L16" i="1"/>
  <c r="K16" i="1"/>
  <c r="I16" i="1"/>
  <c r="G16" i="1"/>
  <c r="D16" i="1"/>
  <c r="E16" i="1" s="1"/>
  <c r="R15" i="1"/>
  <c r="Q15" i="1"/>
  <c r="P15" i="1"/>
  <c r="O15" i="1"/>
  <c r="N15" i="1"/>
  <c r="L15" i="1"/>
  <c r="K15" i="1"/>
  <c r="I15" i="1"/>
  <c r="G15" i="1"/>
  <c r="D15" i="1"/>
  <c r="E15" i="1" s="1"/>
  <c r="F15" i="1" s="1"/>
  <c r="R14" i="1"/>
  <c r="Q14" i="1"/>
  <c r="P14" i="1"/>
  <c r="O14" i="1"/>
  <c r="N14" i="1"/>
  <c r="M14" i="1"/>
  <c r="G14" i="1" s="1"/>
  <c r="L14" i="1"/>
  <c r="K14" i="1"/>
  <c r="I14" i="1"/>
  <c r="D14" i="1"/>
  <c r="E14" i="1" s="1"/>
  <c r="F14" i="1" s="1"/>
  <c r="R13" i="1"/>
  <c r="Q13" i="1"/>
  <c r="P13" i="1"/>
  <c r="O13" i="1"/>
  <c r="N13" i="1"/>
  <c r="M13" i="1"/>
  <c r="G13" i="1" s="1"/>
  <c r="L13" i="1"/>
  <c r="I13" i="1"/>
  <c r="J13" i="1" s="1"/>
  <c r="D13" i="1"/>
  <c r="E13" i="1" s="1"/>
  <c r="F13" i="1" s="1"/>
  <c r="R12" i="1"/>
  <c r="Q12" i="1"/>
  <c r="P12" i="1"/>
  <c r="O12" i="1"/>
  <c r="N12" i="1"/>
  <c r="M12" i="1"/>
  <c r="G12" i="1" s="1"/>
  <c r="L12" i="1"/>
  <c r="K12" i="1"/>
  <c r="I12" i="1"/>
  <c r="E12" i="1"/>
  <c r="F12" i="1" s="1"/>
  <c r="R11" i="1"/>
  <c r="Q11" i="1"/>
  <c r="P11" i="1"/>
  <c r="O11" i="1"/>
  <c r="N11" i="1"/>
  <c r="M11" i="1"/>
  <c r="G11" i="1" s="1"/>
  <c r="L11" i="1"/>
  <c r="K11" i="1"/>
  <c r="I11" i="1"/>
  <c r="D11" i="1"/>
  <c r="E11" i="1" s="1"/>
  <c r="F11" i="1" s="1"/>
  <c r="R10" i="1"/>
  <c r="Q10" i="1"/>
  <c r="P10" i="1"/>
  <c r="O10" i="1"/>
  <c r="N10" i="1"/>
  <c r="M10" i="1"/>
  <c r="G10" i="1" s="1"/>
  <c r="L10" i="1"/>
  <c r="K10" i="1"/>
  <c r="I10" i="1"/>
  <c r="D10" i="1"/>
  <c r="E10" i="1" s="1"/>
  <c r="F10" i="1" s="1"/>
  <c r="R9" i="1"/>
  <c r="Q9" i="1"/>
  <c r="P9" i="1"/>
  <c r="O9" i="1"/>
  <c r="N9" i="1"/>
  <c r="M9" i="1"/>
  <c r="G9" i="1" s="1"/>
  <c r="L9" i="1"/>
  <c r="K9" i="1"/>
  <c r="I9" i="1"/>
  <c r="D9" i="1"/>
  <c r="E9" i="1" s="1"/>
  <c r="F9" i="1" s="1"/>
  <c r="R8" i="1"/>
  <c r="Q8" i="1"/>
  <c r="P8" i="1"/>
  <c r="O8" i="1"/>
  <c r="N8" i="1"/>
  <c r="M8" i="1"/>
  <c r="L8" i="1"/>
  <c r="K8" i="1"/>
  <c r="I8" i="1"/>
  <c r="G8" i="1"/>
  <c r="F8" i="1"/>
  <c r="D8" i="1"/>
  <c r="E8" i="1" s="1"/>
  <c r="R7" i="1"/>
  <c r="Q7" i="1"/>
  <c r="P7" i="1"/>
  <c r="O7" i="1"/>
  <c r="N7" i="1"/>
  <c r="M7" i="1"/>
  <c r="L7" i="1"/>
  <c r="K7" i="1"/>
  <c r="I7" i="1"/>
  <c r="G7" i="1"/>
  <c r="F7" i="1"/>
  <c r="D7" i="1"/>
  <c r="E7" i="1" s="1"/>
  <c r="R6" i="1"/>
  <c r="Q6" i="1"/>
  <c r="P6" i="1"/>
  <c r="O6" i="1"/>
  <c r="N6" i="1"/>
  <c r="L6" i="1"/>
  <c r="K6" i="1"/>
  <c r="I6" i="1"/>
  <c r="G6" i="1"/>
  <c r="F6" i="1"/>
  <c r="D6" i="1"/>
  <c r="E6" i="1" s="1"/>
  <c r="R5" i="1"/>
  <c r="Q5" i="1"/>
  <c r="P5" i="1"/>
  <c r="O5" i="1"/>
  <c r="N5" i="1"/>
  <c r="M5" i="1"/>
  <c r="L5" i="1"/>
  <c r="K5" i="1"/>
  <c r="I5" i="1"/>
  <c r="G5" i="1"/>
  <c r="F5" i="1"/>
  <c r="D5" i="1"/>
  <c r="E5" i="1" s="1"/>
  <c r="R4" i="1"/>
  <c r="Q4" i="1"/>
  <c r="P4" i="1"/>
  <c r="O4" i="1"/>
  <c r="N4" i="1"/>
  <c r="M4" i="1"/>
  <c r="L4" i="1"/>
  <c r="K4" i="1"/>
  <c r="I4" i="1"/>
  <c r="G4" i="1"/>
  <c r="F4" i="1"/>
  <c r="D4" i="1"/>
  <c r="E4" i="1" s="1"/>
  <c r="R3" i="1"/>
  <c r="Q3" i="1"/>
  <c r="P3" i="1"/>
  <c r="O3" i="1"/>
  <c r="N3" i="1"/>
  <c r="L3" i="1"/>
  <c r="K3" i="1"/>
  <c r="I3" i="1"/>
  <c r="G3" i="1"/>
  <c r="D3" i="1"/>
  <c r="E3" i="1" s="1"/>
  <c r="F3" i="1" s="1"/>
  <c r="J15" i="1" l="1"/>
  <c r="J5" i="1"/>
  <c r="J6" i="1"/>
  <c r="J10" i="1"/>
  <c r="J8" i="1"/>
  <c r="J9" i="1"/>
  <c r="J21" i="1"/>
  <c r="J23" i="1"/>
  <c r="J33" i="1"/>
  <c r="J37" i="1"/>
  <c r="J50" i="1"/>
  <c r="J3" i="1"/>
  <c r="J12" i="1"/>
  <c r="J14" i="1"/>
  <c r="J27" i="1"/>
  <c r="J40" i="1"/>
  <c r="J44" i="1"/>
  <c r="J48" i="1"/>
  <c r="J19" i="1"/>
  <c r="J17" i="1"/>
  <c r="J31" i="1"/>
  <c r="J20" i="1"/>
  <c r="J39" i="1"/>
  <c r="J16" i="1"/>
  <c r="J46" i="1"/>
  <c r="J7" i="1"/>
  <c r="J11" i="1"/>
  <c r="J30" i="1"/>
  <c r="J47" i="1"/>
  <c r="J22" i="1"/>
  <c r="J28" i="1"/>
  <c r="J32" i="1"/>
  <c r="J34" i="1"/>
  <c r="J41" i="1"/>
  <c r="J45" i="1"/>
  <c r="J51" i="1"/>
  <c r="J4" i="1"/>
  <c r="J18" i="1"/>
  <c r="J25" i="1"/>
  <c r="J26" i="1"/>
  <c r="J29" i="1"/>
  <c r="J35" i="1"/>
  <c r="J36" i="1"/>
  <c r="J38" i="1"/>
  <c r="J42" i="1"/>
  <c r="J43" i="1"/>
  <c r="J49" i="1"/>
  <c r="AB14" i="1" l="1"/>
  <c r="AQ42" i="1" l="1"/>
  <c r="AQ28" i="1"/>
  <c r="AJ44" i="1"/>
  <c r="AQ44" i="1" s="1"/>
  <c r="AJ45" i="1"/>
  <c r="AQ45" i="1" s="1"/>
  <c r="AJ46" i="1"/>
  <c r="AQ46" i="1" s="1"/>
  <c r="AJ47" i="1"/>
  <c r="AQ47" i="1" s="1"/>
  <c r="AJ48" i="1"/>
  <c r="AQ48" i="1" s="1"/>
  <c r="AJ49" i="1"/>
  <c r="AQ49" i="1" s="1"/>
  <c r="AJ50" i="1"/>
  <c r="AQ50" i="1" s="1"/>
  <c r="AJ51" i="1"/>
  <c r="AQ51" i="1" s="1"/>
  <c r="AJ43" i="1"/>
  <c r="AQ43" i="1" s="1"/>
  <c r="AJ30" i="1"/>
  <c r="AQ30" i="1" s="1"/>
  <c r="AJ31" i="1"/>
  <c r="AQ31" i="1" s="1"/>
  <c r="AJ32" i="1"/>
  <c r="AQ32" i="1" s="1"/>
  <c r="AJ33" i="1"/>
  <c r="AQ33" i="1" s="1"/>
  <c r="AJ34" i="1"/>
  <c r="AQ34" i="1" s="1"/>
  <c r="AJ35" i="1"/>
  <c r="AQ35" i="1" s="1"/>
  <c r="AJ36" i="1"/>
  <c r="AQ36" i="1" s="1"/>
  <c r="AJ37" i="1"/>
  <c r="AQ37" i="1" s="1"/>
  <c r="AJ38" i="1"/>
  <c r="AQ38" i="1" s="1"/>
  <c r="AJ39" i="1"/>
  <c r="AQ39" i="1" s="1"/>
  <c r="AJ40" i="1"/>
  <c r="AQ40" i="1" s="1"/>
  <c r="AJ41" i="1"/>
  <c r="AQ41" i="1" s="1"/>
  <c r="AJ29" i="1"/>
  <c r="AQ29" i="1" s="1"/>
  <c r="AJ3" i="1"/>
  <c r="AQ3" i="1" s="1"/>
  <c r="AJ4" i="1"/>
  <c r="AQ4" i="1" s="1"/>
  <c r="AJ5" i="1"/>
  <c r="AQ5" i="1" s="1"/>
  <c r="AJ6" i="1"/>
  <c r="AQ6" i="1" s="1"/>
  <c r="AJ7" i="1"/>
  <c r="AQ7" i="1" s="1"/>
  <c r="AJ8" i="1"/>
  <c r="AQ8" i="1" s="1"/>
  <c r="AJ9" i="1"/>
  <c r="AQ9" i="1" s="1"/>
  <c r="AJ10" i="1"/>
  <c r="AQ10" i="1" s="1"/>
  <c r="AJ11" i="1"/>
  <c r="AQ11" i="1" s="1"/>
  <c r="AJ12" i="1"/>
  <c r="AQ12" i="1" s="1"/>
  <c r="AJ13" i="1"/>
  <c r="AQ13" i="1" s="1"/>
  <c r="AJ14" i="1"/>
  <c r="AQ14" i="1" s="1"/>
  <c r="AJ15" i="1"/>
  <c r="AQ15" i="1" s="1"/>
  <c r="AJ16" i="1"/>
  <c r="AQ16" i="1" s="1"/>
  <c r="AJ17" i="1"/>
  <c r="AQ17" i="1" s="1"/>
  <c r="AJ18" i="1"/>
  <c r="AQ18" i="1" s="1"/>
  <c r="AJ19" i="1"/>
  <c r="AQ19" i="1" s="1"/>
  <c r="AJ20" i="1"/>
  <c r="AQ20" i="1" s="1"/>
  <c r="AJ21" i="1"/>
  <c r="AQ21" i="1" s="1"/>
  <c r="AJ22" i="1"/>
  <c r="AQ22" i="1" s="1"/>
  <c r="AJ23" i="1"/>
  <c r="AQ23" i="1" s="1"/>
  <c r="AJ24" i="1"/>
  <c r="AQ24" i="1" s="1"/>
  <c r="AJ25" i="1"/>
  <c r="AQ25" i="1" s="1"/>
  <c r="AJ26" i="1"/>
  <c r="AQ26" i="1" s="1"/>
  <c r="AJ27" i="1"/>
  <c r="AQ27" i="1" s="1"/>
  <c r="AJ2" i="1"/>
  <c r="AI3" i="1"/>
  <c r="AP3" i="1" s="1"/>
  <c r="AI4" i="1"/>
  <c r="AP4" i="1" s="1"/>
  <c r="AI5" i="1"/>
  <c r="AP5" i="1" s="1"/>
  <c r="AI6" i="1"/>
  <c r="AP6" i="1" s="1"/>
  <c r="AI7" i="1"/>
  <c r="AP7" i="1" s="1"/>
  <c r="AI8" i="1"/>
  <c r="AP8" i="1" s="1"/>
  <c r="AI9" i="1"/>
  <c r="AP9" i="1" s="1"/>
  <c r="AI10" i="1"/>
  <c r="AP10" i="1" s="1"/>
  <c r="AI11" i="1"/>
  <c r="AP11" i="1" s="1"/>
  <c r="AI12" i="1"/>
  <c r="AP12" i="1" s="1"/>
  <c r="AI13" i="1"/>
  <c r="AP13" i="1" s="1"/>
  <c r="AI14" i="1"/>
  <c r="AP14" i="1" s="1"/>
  <c r="AI15" i="1"/>
  <c r="AP15" i="1" s="1"/>
  <c r="AI16" i="1"/>
  <c r="AP16" i="1" s="1"/>
  <c r="AI17" i="1"/>
  <c r="AP17" i="1" s="1"/>
  <c r="AI18" i="1"/>
  <c r="AP18" i="1" s="1"/>
  <c r="AI19" i="1"/>
  <c r="AP19" i="1" s="1"/>
  <c r="AI20" i="1"/>
  <c r="AP20" i="1" s="1"/>
  <c r="AI21" i="1"/>
  <c r="AP21" i="1" s="1"/>
  <c r="AI22" i="1"/>
  <c r="AP22" i="1" s="1"/>
  <c r="AI23" i="1"/>
  <c r="AP23" i="1" s="1"/>
  <c r="AI24" i="1"/>
  <c r="AP24" i="1" s="1"/>
  <c r="AI25" i="1"/>
  <c r="AP25" i="1" s="1"/>
  <c r="AI26" i="1"/>
  <c r="AP26" i="1" s="1"/>
  <c r="AI27" i="1"/>
  <c r="AP27" i="1" s="1"/>
  <c r="AI28" i="1"/>
  <c r="AP28" i="1" s="1"/>
  <c r="AI29" i="1"/>
  <c r="AP29" i="1" s="1"/>
  <c r="AI30" i="1"/>
  <c r="AP30" i="1" s="1"/>
  <c r="AI31" i="1"/>
  <c r="AP31" i="1" s="1"/>
  <c r="AI32" i="1"/>
  <c r="AP32" i="1" s="1"/>
  <c r="AI33" i="1"/>
  <c r="AP33" i="1" s="1"/>
  <c r="AI34" i="1"/>
  <c r="AP34" i="1" s="1"/>
  <c r="AI35" i="1"/>
  <c r="AP35" i="1" s="1"/>
  <c r="AI36" i="1"/>
  <c r="AP36" i="1" s="1"/>
  <c r="AI37" i="1"/>
  <c r="AP37" i="1" s="1"/>
  <c r="AI38" i="1"/>
  <c r="AP38" i="1" s="1"/>
  <c r="AI39" i="1"/>
  <c r="AP39" i="1" s="1"/>
  <c r="AI40" i="1"/>
  <c r="AP40" i="1" s="1"/>
  <c r="AI41" i="1"/>
  <c r="AP41" i="1" s="1"/>
  <c r="AI42" i="1"/>
  <c r="AP42" i="1" s="1"/>
  <c r="AI43" i="1"/>
  <c r="AP43" i="1" s="1"/>
  <c r="AI44" i="1"/>
  <c r="AP44" i="1" s="1"/>
  <c r="AI45" i="1"/>
  <c r="AP45" i="1" s="1"/>
  <c r="AI46" i="1"/>
  <c r="AP46" i="1" s="1"/>
  <c r="AI47" i="1"/>
  <c r="AP47" i="1" s="1"/>
  <c r="AI48" i="1"/>
  <c r="AP48" i="1" s="1"/>
  <c r="AI49" i="1"/>
  <c r="AP49" i="1" s="1"/>
  <c r="AI50" i="1"/>
  <c r="AP50" i="1" s="1"/>
  <c r="AI51" i="1"/>
  <c r="AP51" i="1" s="1"/>
  <c r="AH2" i="1"/>
  <c r="AO2" i="1" s="1"/>
  <c r="AN2" i="1"/>
  <c r="AM2" i="1"/>
  <c r="AP2" i="1" l="1"/>
  <c r="AE25" i="9"/>
  <c r="AD25" i="9"/>
  <c r="AC25" i="9"/>
  <c r="AF25" i="9"/>
  <c r="AB25" i="9"/>
  <c r="AQ2" i="1"/>
  <c r="AD26" i="9"/>
  <c r="AC26" i="9"/>
  <c r="AF26" i="9"/>
  <c r="AB26" i="9"/>
  <c r="AE26" i="9"/>
  <c r="AL2" i="1"/>
  <c r="AB19" i="1"/>
  <c r="AS2" i="1" l="1"/>
  <c r="AT2" i="1"/>
  <c r="AF2" i="9"/>
  <c r="S52" i="1" l="1"/>
  <c r="T52" i="1"/>
  <c r="U52" i="1"/>
  <c r="W52" i="1"/>
  <c r="AB8" i="1" l="1"/>
  <c r="AF23" i="1" l="1"/>
  <c r="AM23" i="1" s="1"/>
  <c r="AH51" i="1" l="1"/>
  <c r="AO51" i="1" s="1"/>
  <c r="AB51" i="1"/>
  <c r="AF51" i="1"/>
  <c r="AM51" i="1" s="1"/>
  <c r="AD51" i="1"/>
  <c r="AK51" i="1" s="1"/>
  <c r="AB50" i="1"/>
  <c r="AH50" i="1"/>
  <c r="AO50" i="1" s="1"/>
  <c r="AF50" i="1"/>
  <c r="AM50" i="1" s="1"/>
  <c r="AD50" i="1"/>
  <c r="AK50" i="1" s="1"/>
  <c r="AB49" i="1"/>
  <c r="AH49" i="1"/>
  <c r="AO49" i="1" s="1"/>
  <c r="AF49" i="1"/>
  <c r="AM49" i="1" s="1"/>
  <c r="AG49" i="1" l="1"/>
  <c r="AN49" i="1" s="1"/>
  <c r="AA49" i="1"/>
  <c r="AG51" i="1"/>
  <c r="AN51" i="1" s="1"/>
  <c r="AA51" i="1"/>
  <c r="AG50" i="1"/>
  <c r="AN50" i="1" s="1"/>
  <c r="AA50" i="1"/>
  <c r="Z51" i="1"/>
  <c r="X51" i="1"/>
  <c r="Y51" i="1"/>
  <c r="AD49" i="1"/>
  <c r="AK49" i="1" s="1"/>
  <c r="Z49" i="1"/>
  <c r="AR51" i="1" l="1"/>
  <c r="AT49" i="1"/>
  <c r="AT51" i="1"/>
  <c r="AS51" i="1"/>
  <c r="Y49" i="1"/>
  <c r="X49" i="1"/>
  <c r="AB48" i="1"/>
  <c r="AH48" i="1"/>
  <c r="AO48" i="1" s="1"/>
  <c r="AF48" i="1"/>
  <c r="AM48" i="1" s="1"/>
  <c r="X48" i="1"/>
  <c r="AD48" i="1"/>
  <c r="AK48" i="1" s="1"/>
  <c r="AF47" i="1"/>
  <c r="AM47" i="1" s="1"/>
  <c r="AB47" i="1"/>
  <c r="AH47" i="1"/>
  <c r="AO47" i="1" s="1"/>
  <c r="AD47" i="1"/>
  <c r="AK47" i="1" s="1"/>
  <c r="AH46" i="1"/>
  <c r="AO46" i="1" s="1"/>
  <c r="AF46" i="1"/>
  <c r="AM46" i="1" s="1"/>
  <c r="AB46" i="1"/>
  <c r="AB45" i="1"/>
  <c r="AF45" i="1"/>
  <c r="AM45" i="1" s="1"/>
  <c r="AH45" i="1"/>
  <c r="AO45" i="1" s="1"/>
  <c r="AD45" i="1"/>
  <c r="AK45" i="1" s="1"/>
  <c r="AF44" i="1"/>
  <c r="AM44" i="1" s="1"/>
  <c r="AB44" i="1"/>
  <c r="AH44" i="1"/>
  <c r="AO44" i="1" s="1"/>
  <c r="AD44" i="1"/>
  <c r="AK44" i="1" s="1"/>
  <c r="Z44" i="1"/>
  <c r="AB43" i="1"/>
  <c r="AH43" i="1"/>
  <c r="AO43" i="1" s="1"/>
  <c r="AF43" i="1"/>
  <c r="AM43" i="1" s="1"/>
  <c r="AC43" i="1"/>
  <c r="AD43" i="1"/>
  <c r="AK43" i="1" s="1"/>
  <c r="AT44" i="1" l="1"/>
  <c r="AR48" i="1"/>
  <c r="AR49" i="1"/>
  <c r="AS49" i="1"/>
  <c r="AG45" i="1"/>
  <c r="AN45" i="1" s="1"/>
  <c r="AA45" i="1"/>
  <c r="Y44" i="1"/>
  <c r="X44" i="1"/>
  <c r="AG43" i="1"/>
  <c r="AN43" i="1" s="1"/>
  <c r="AA43" i="1"/>
  <c r="Y46" i="1"/>
  <c r="AD46" i="1"/>
  <c r="AK46" i="1" s="1"/>
  <c r="AG47" i="1"/>
  <c r="AN47" i="1" s="1"/>
  <c r="AA47" i="1"/>
  <c r="AG48" i="1"/>
  <c r="AN48" i="1" s="1"/>
  <c r="AA48" i="1"/>
  <c r="AG44" i="1"/>
  <c r="AN44" i="1" s="1"/>
  <c r="AA44" i="1"/>
  <c r="X46" i="1"/>
  <c r="AG46" i="1"/>
  <c r="AN46" i="1" s="1"/>
  <c r="AA46" i="1"/>
  <c r="Z46" i="1"/>
  <c r="Z48" i="1"/>
  <c r="Y48" i="1"/>
  <c r="X47" i="1"/>
  <c r="X43" i="1"/>
  <c r="AF42" i="1"/>
  <c r="AM42" i="1" s="1"/>
  <c r="AH42" i="1"/>
  <c r="AO42" i="1" s="1"/>
  <c r="AD42" i="1"/>
  <c r="AK42" i="1" s="1"/>
  <c r="AB41" i="1"/>
  <c r="AF41" i="1"/>
  <c r="AM41" i="1" s="1"/>
  <c r="AH41" i="1"/>
  <c r="AO41" i="1" s="1"/>
  <c r="AH40" i="1"/>
  <c r="AO40" i="1" s="1"/>
  <c r="AF40" i="1"/>
  <c r="AM40" i="1" s="1"/>
  <c r="AB40" i="1"/>
  <c r="AD40" i="1"/>
  <c r="AK40" i="1" s="1"/>
  <c r="AB39" i="1"/>
  <c r="AF39" i="1"/>
  <c r="AM39" i="1" s="1"/>
  <c r="AH39" i="1"/>
  <c r="AO39" i="1" s="1"/>
  <c r="AD39" i="1"/>
  <c r="AK39" i="1" s="1"/>
  <c r="AF37" i="1"/>
  <c r="AM37" i="1" s="1"/>
  <c r="AB37" i="1"/>
  <c r="AH37" i="1"/>
  <c r="AO37" i="1" s="1"/>
  <c r="AD37" i="1"/>
  <c r="AK37" i="1" s="1"/>
  <c r="AF36" i="1"/>
  <c r="AM36" i="1" s="1"/>
  <c r="AH36" i="1"/>
  <c r="AO36" i="1" s="1"/>
  <c r="AB36" i="1"/>
  <c r="AD36" i="1"/>
  <c r="AK36" i="1" s="1"/>
  <c r="AS48" i="1" l="1"/>
  <c r="AR44" i="1"/>
  <c r="AT48" i="1"/>
  <c r="AR46" i="1"/>
  <c r="AS46" i="1"/>
  <c r="AS44" i="1"/>
  <c r="AR43" i="1"/>
  <c r="AT46" i="1"/>
  <c r="AR47" i="1"/>
  <c r="AG36" i="1"/>
  <c r="AN36" i="1" s="1"/>
  <c r="AA36" i="1"/>
  <c r="AG39" i="1"/>
  <c r="AN39" i="1" s="1"/>
  <c r="AA39" i="1"/>
  <c r="AD41" i="1"/>
  <c r="AK41" i="1" s="1"/>
  <c r="AG42" i="1"/>
  <c r="AN42" i="1" s="1"/>
  <c r="AA42" i="1"/>
  <c r="Z37" i="1"/>
  <c r="AG37" i="1"/>
  <c r="AN37" i="1" s="1"/>
  <c r="AA37" i="1"/>
  <c r="Y37" i="1"/>
  <c r="X37" i="1"/>
  <c r="Y39" i="1"/>
  <c r="X39" i="1"/>
  <c r="Y40" i="1"/>
  <c r="X40" i="1"/>
  <c r="AG41" i="1"/>
  <c r="AN41" i="1" s="1"/>
  <c r="AA41" i="1"/>
  <c r="Z39" i="1"/>
  <c r="Z40" i="1"/>
  <c r="AG40" i="1"/>
  <c r="AN40" i="1" s="1"/>
  <c r="AA40" i="1"/>
  <c r="AB42" i="1"/>
  <c r="Y43" i="1"/>
  <c r="Z43" i="1"/>
  <c r="Y47" i="1"/>
  <c r="Z47" i="1"/>
  <c r="AB38" i="1"/>
  <c r="AF38" i="1"/>
  <c r="AM38" i="1" s="1"/>
  <c r="AH38" i="1"/>
  <c r="AO38" i="1" s="1"/>
  <c r="AD38" i="1"/>
  <c r="AK38" i="1" s="1"/>
  <c r="AB35" i="1"/>
  <c r="AH35" i="1"/>
  <c r="AO35" i="1" s="1"/>
  <c r="AF35" i="1"/>
  <c r="AM35" i="1" s="1"/>
  <c r="AD35" i="1"/>
  <c r="AK35" i="1" s="1"/>
  <c r="AB34" i="1"/>
  <c r="AF34" i="1"/>
  <c r="AM34" i="1" s="1"/>
  <c r="AH34" i="1"/>
  <c r="AO34" i="1" s="1"/>
  <c r="AB33" i="1"/>
  <c r="AH33" i="1"/>
  <c r="AO33" i="1" s="1"/>
  <c r="AF33" i="1"/>
  <c r="AM33" i="1" s="1"/>
  <c r="AB32" i="1"/>
  <c r="AH32" i="1"/>
  <c r="AO32" i="1" s="1"/>
  <c r="AF32" i="1"/>
  <c r="AM32" i="1" s="1"/>
  <c r="AD32" i="1"/>
  <c r="AK32" i="1" s="1"/>
  <c r="AB31" i="1"/>
  <c r="AH31" i="1"/>
  <c r="AO31" i="1" s="1"/>
  <c r="AF31" i="1"/>
  <c r="AM31" i="1" s="1"/>
  <c r="Y31" i="1"/>
  <c r="AB30" i="1"/>
  <c r="AF30" i="1"/>
  <c r="AM30" i="1" s="1"/>
  <c r="AH30" i="1"/>
  <c r="AO30" i="1" s="1"/>
  <c r="X30" i="1"/>
  <c r="AH29" i="1"/>
  <c r="AO29" i="1" s="1"/>
  <c r="AB29" i="1"/>
  <c r="AF29" i="1"/>
  <c r="AM29" i="1" s="1"/>
  <c r="AD29" i="1"/>
  <c r="AK29" i="1" s="1"/>
  <c r="AB28" i="1"/>
  <c r="AH28" i="1"/>
  <c r="AO28" i="1" s="1"/>
  <c r="AF28" i="1"/>
  <c r="AM28" i="1" s="1"/>
  <c r="AS47" i="1" l="1"/>
  <c r="AR39" i="1"/>
  <c r="AR30" i="1"/>
  <c r="AS31" i="1"/>
  <c r="AT43" i="1"/>
  <c r="AS39" i="1"/>
  <c r="AS43" i="1"/>
  <c r="AT40" i="1"/>
  <c r="AR40" i="1"/>
  <c r="AR37" i="1"/>
  <c r="AT37" i="1"/>
  <c r="AT47" i="1"/>
  <c r="AT39" i="1"/>
  <c r="AS40" i="1"/>
  <c r="AS37" i="1"/>
  <c r="X29" i="1"/>
  <c r="AG35" i="1"/>
  <c r="AN35" i="1" s="1"/>
  <c r="AA35" i="1"/>
  <c r="AA38" i="1"/>
  <c r="AG38" i="1"/>
  <c r="AN38" i="1" s="1"/>
  <c r="AG29" i="1"/>
  <c r="AN29" i="1" s="1"/>
  <c r="AA29" i="1"/>
  <c r="X31" i="1"/>
  <c r="Y32" i="1"/>
  <c r="X32" i="1"/>
  <c r="AG32" i="1"/>
  <c r="AN32" i="1" s="1"/>
  <c r="AA32" i="1"/>
  <c r="AD34" i="1"/>
  <c r="AK34" i="1" s="1"/>
  <c r="Y38" i="1"/>
  <c r="X38" i="1"/>
  <c r="AD31" i="1"/>
  <c r="AK31" i="1" s="1"/>
  <c r="Z31" i="1"/>
  <c r="AG31" i="1"/>
  <c r="AN31" i="1" s="1"/>
  <c r="AA31" i="1"/>
  <c r="AD30" i="1"/>
  <c r="AK30" i="1" s="1"/>
  <c r="AG28" i="1"/>
  <c r="AN28" i="1" s="1"/>
  <c r="AA28" i="1"/>
  <c r="Y30" i="1"/>
  <c r="AG30" i="1"/>
  <c r="AN30" i="1" s="1"/>
  <c r="AA30" i="1"/>
  <c r="Z32" i="1"/>
  <c r="Z33" i="1"/>
  <c r="X33" i="1"/>
  <c r="AC34" i="1"/>
  <c r="AG34" i="1"/>
  <c r="AN34" i="1" s="1"/>
  <c r="AA34" i="1"/>
  <c r="Z38" i="1"/>
  <c r="Z30" i="1"/>
  <c r="AD33" i="1"/>
  <c r="AK33" i="1" s="1"/>
  <c r="AG33" i="1"/>
  <c r="AN33" i="1" s="1"/>
  <c r="AA33" i="1"/>
  <c r="Y33" i="1"/>
  <c r="Z35" i="1"/>
  <c r="Y35" i="1"/>
  <c r="X35" i="1"/>
  <c r="AD28" i="1"/>
  <c r="AK28" i="1" s="1"/>
  <c r="AB27" i="1"/>
  <c r="AH27" i="1"/>
  <c r="AO27" i="1" s="1"/>
  <c r="AF27" i="1"/>
  <c r="AM27" i="1" s="1"/>
  <c r="AS33" i="1" l="1"/>
  <c r="AT31" i="1"/>
  <c r="AS32" i="1"/>
  <c r="AR29" i="1"/>
  <c r="AR35" i="1"/>
  <c r="AT38" i="1"/>
  <c r="AR33" i="1"/>
  <c r="AR31" i="1"/>
  <c r="AT30" i="1"/>
  <c r="AS35" i="1"/>
  <c r="AT33" i="1"/>
  <c r="AS30" i="1"/>
  <c r="AR38" i="1"/>
  <c r="AT35" i="1"/>
  <c r="AT32" i="1"/>
  <c r="AS38" i="1"/>
  <c r="AR32" i="1"/>
  <c r="AG27" i="1"/>
  <c r="AN27" i="1" s="1"/>
  <c r="AA27" i="1"/>
  <c r="Z29" i="1"/>
  <c r="Y29" i="1"/>
  <c r="X28" i="1"/>
  <c r="AD27" i="1"/>
  <c r="AK27" i="1" s="1"/>
  <c r="AB26" i="1"/>
  <c r="AH26" i="1"/>
  <c r="AO26" i="1" s="1"/>
  <c r="AF26" i="1"/>
  <c r="AM26" i="1" s="1"/>
  <c r="AD26" i="1"/>
  <c r="AK26" i="1" s="1"/>
  <c r="AF25" i="1"/>
  <c r="AM25" i="1" s="1"/>
  <c r="AH25" i="1"/>
  <c r="AO25" i="1" s="1"/>
  <c r="AB25" i="1"/>
  <c r="Z25" i="1"/>
  <c r="AT29" i="1" l="1"/>
  <c r="AT25" i="1"/>
  <c r="AR28" i="1"/>
  <c r="AS29" i="1"/>
  <c r="AG25" i="1"/>
  <c r="AN25" i="1" s="1"/>
  <c r="AA25" i="1"/>
  <c r="AD25" i="1"/>
  <c r="AK25" i="1" s="1"/>
  <c r="AG26" i="1"/>
  <c r="AN26" i="1" s="1"/>
  <c r="AA26" i="1"/>
  <c r="Y25" i="1"/>
  <c r="X25" i="1"/>
  <c r="Y28" i="1"/>
  <c r="Z28" i="1"/>
  <c r="AB24" i="1"/>
  <c r="AH24" i="1"/>
  <c r="AO24" i="1" s="1"/>
  <c r="AF24" i="1"/>
  <c r="AM24" i="1" s="1"/>
  <c r="AD24" i="1"/>
  <c r="AK24" i="1" s="1"/>
  <c r="Z24" i="1"/>
  <c r="AB23" i="1"/>
  <c r="AH23" i="1"/>
  <c r="AO23" i="1" s="1"/>
  <c r="AD23" i="1"/>
  <c r="AK23" i="1" s="1"/>
  <c r="Z23" i="1"/>
  <c r="AT28" i="1" l="1"/>
  <c r="AR25" i="1"/>
  <c r="AT23" i="1"/>
  <c r="AT24" i="1"/>
  <c r="AS25" i="1"/>
  <c r="AS28" i="1"/>
  <c r="AG23" i="1"/>
  <c r="AN23" i="1" s="1"/>
  <c r="AA23" i="1"/>
  <c r="Y23" i="1"/>
  <c r="X23" i="1"/>
  <c r="Y24" i="1"/>
  <c r="X24" i="1"/>
  <c r="AG24" i="1"/>
  <c r="AN24" i="1" s="1"/>
  <c r="AA24" i="1"/>
  <c r="AB22" i="1"/>
  <c r="AF22" i="1"/>
  <c r="AM22" i="1" s="1"/>
  <c r="AH22" i="1"/>
  <c r="AO22" i="1" s="1"/>
  <c r="AD22" i="1"/>
  <c r="AK22" i="1" s="1"/>
  <c r="Z22" i="1"/>
  <c r="AD21" i="1"/>
  <c r="AK21" i="1" s="1"/>
  <c r="AH21" i="1"/>
  <c r="AO21" i="1" s="1"/>
  <c r="AB21" i="1"/>
  <c r="AF21" i="1"/>
  <c r="AM21" i="1" s="1"/>
  <c r="AB20" i="1"/>
  <c r="AF20" i="1"/>
  <c r="AM20" i="1" s="1"/>
  <c r="AH20" i="1"/>
  <c r="AO20" i="1" s="1"/>
  <c r="AD20" i="1"/>
  <c r="AK20" i="1" s="1"/>
  <c r="AF19" i="1"/>
  <c r="AM19" i="1" s="1"/>
  <c r="AH19" i="1"/>
  <c r="AO19" i="1" s="1"/>
  <c r="AD19" i="1"/>
  <c r="AK19" i="1" s="1"/>
  <c r="AB18" i="1"/>
  <c r="AH18" i="1"/>
  <c r="AO18" i="1" s="1"/>
  <c r="AF18" i="1"/>
  <c r="AM18" i="1" s="1"/>
  <c r="AD18" i="1"/>
  <c r="AK18" i="1" s="1"/>
  <c r="AH17" i="1"/>
  <c r="AO17" i="1" s="1"/>
  <c r="AB17" i="1"/>
  <c r="AF17" i="1"/>
  <c r="AM17" i="1" s="1"/>
  <c r="AD17" i="1"/>
  <c r="AK17" i="1" s="1"/>
  <c r="AB16" i="1"/>
  <c r="AH16" i="1"/>
  <c r="AO16" i="1" s="1"/>
  <c r="AF16" i="1"/>
  <c r="AM16" i="1" s="1"/>
  <c r="Z16" i="1"/>
  <c r="AB15" i="1"/>
  <c r="AH15" i="1"/>
  <c r="AO15" i="1" s="1"/>
  <c r="AF15" i="1"/>
  <c r="AM15" i="1" s="1"/>
  <c r="AD15" i="1"/>
  <c r="AK15" i="1" s="1"/>
  <c r="AT16" i="1" l="1"/>
  <c r="AR23" i="1"/>
  <c r="AS23" i="1"/>
  <c r="AR24" i="1"/>
  <c r="AT22" i="1"/>
  <c r="AS24" i="1"/>
  <c r="Y22" i="1"/>
  <c r="X22" i="1"/>
  <c r="AG22" i="1"/>
  <c r="AN22" i="1" s="1"/>
  <c r="AA22" i="1"/>
  <c r="AG17" i="1"/>
  <c r="AN17" i="1" s="1"/>
  <c r="AA17" i="1"/>
  <c r="AG19" i="1"/>
  <c r="AN19" i="1" s="1"/>
  <c r="AA19" i="1"/>
  <c r="Y16" i="1"/>
  <c r="X16" i="1"/>
  <c r="AE16" i="1"/>
  <c r="AL16" i="1" s="1"/>
  <c r="AD16" i="1"/>
  <c r="AK16" i="1" s="1"/>
  <c r="X19" i="1"/>
  <c r="Y20" i="1"/>
  <c r="X21" i="1"/>
  <c r="AG21" i="1"/>
  <c r="AN21" i="1" s="1"/>
  <c r="AA21" i="1"/>
  <c r="AG15" i="1"/>
  <c r="AN15" i="1" s="1"/>
  <c r="AA15" i="1"/>
  <c r="AG16" i="1"/>
  <c r="AN16" i="1" s="1"/>
  <c r="AA16" i="1"/>
  <c r="AG18" i="1"/>
  <c r="AN18" i="1" s="1"/>
  <c r="AA18" i="1"/>
  <c r="Z20" i="1"/>
  <c r="X20" i="1"/>
  <c r="AG20" i="1"/>
  <c r="AN20" i="1" s="1"/>
  <c r="AA20" i="1"/>
  <c r="Y21" i="1"/>
  <c r="AF14" i="1"/>
  <c r="AM14" i="1" s="1"/>
  <c r="AH14" i="1"/>
  <c r="AO14" i="1" s="1"/>
  <c r="AD14" i="1"/>
  <c r="AK14" i="1" s="1"/>
  <c r="AB13" i="1"/>
  <c r="AF13" i="1"/>
  <c r="AM13" i="1" s="1"/>
  <c r="AH13" i="1"/>
  <c r="AO13" i="1" s="1"/>
  <c r="AB12" i="1"/>
  <c r="AH12" i="1"/>
  <c r="AO12" i="1" s="1"/>
  <c r="AF12" i="1"/>
  <c r="AM12" i="1" s="1"/>
  <c r="AD12" i="1"/>
  <c r="AK12" i="1" s="1"/>
  <c r="AB11" i="1"/>
  <c r="AF11" i="1"/>
  <c r="AM11" i="1" s="1"/>
  <c r="AH11" i="1"/>
  <c r="AO11" i="1" s="1"/>
  <c r="AF10" i="1"/>
  <c r="AM10" i="1" s="1"/>
  <c r="AH10" i="1"/>
  <c r="AO10" i="1" s="1"/>
  <c r="AB10" i="1"/>
  <c r="AH9" i="1"/>
  <c r="AO9" i="1" s="1"/>
  <c r="AB9" i="1"/>
  <c r="AF9" i="1"/>
  <c r="AM9" i="1" s="1"/>
  <c r="AD9" i="1"/>
  <c r="AK9" i="1" s="1"/>
  <c r="AE9" i="1"/>
  <c r="AL9" i="1" s="1"/>
  <c r="AS20" i="1" l="1"/>
  <c r="AR16" i="1"/>
  <c r="AR22" i="1"/>
  <c r="AR20" i="1"/>
  <c r="AR19" i="1"/>
  <c r="AS16" i="1"/>
  <c r="AS22" i="1"/>
  <c r="AS21" i="1"/>
  <c r="AT20" i="1"/>
  <c r="AR21" i="1"/>
  <c r="Z21" i="1"/>
  <c r="AE10" i="1"/>
  <c r="AL10" i="1" s="1"/>
  <c r="AD10" i="1"/>
  <c r="AK10" i="1" s="1"/>
  <c r="AD11" i="1"/>
  <c r="AK11" i="1" s="1"/>
  <c r="AG12" i="1"/>
  <c r="AN12" i="1" s="1"/>
  <c r="AA12" i="1"/>
  <c r="AD13" i="1"/>
  <c r="AK13" i="1" s="1"/>
  <c r="AG13" i="1"/>
  <c r="AN13" i="1" s="1"/>
  <c r="AA13" i="1"/>
  <c r="AG9" i="1"/>
  <c r="AN9" i="1" s="1"/>
  <c r="AA9" i="1"/>
  <c r="AG10" i="1"/>
  <c r="AN10" i="1" s="1"/>
  <c r="AA10" i="1"/>
  <c r="AG11" i="1"/>
  <c r="AN11" i="1" s="1"/>
  <c r="AA11" i="1"/>
  <c r="AG14" i="1"/>
  <c r="AN14" i="1" s="1"/>
  <c r="AA14" i="1"/>
  <c r="Z19" i="1"/>
  <c r="Y19" i="1"/>
  <c r="X10" i="1"/>
  <c r="AH8" i="1"/>
  <c r="AO8" i="1" s="1"/>
  <c r="AF8" i="1"/>
  <c r="AM8" i="1" s="1"/>
  <c r="Z8" i="1"/>
  <c r="AB7" i="1"/>
  <c r="AH7" i="1"/>
  <c r="AO7" i="1" s="1"/>
  <c r="AF7" i="1"/>
  <c r="AM7" i="1" s="1"/>
  <c r="AB6" i="1"/>
  <c r="AH6" i="1"/>
  <c r="AO6" i="1" s="1"/>
  <c r="AF6" i="1"/>
  <c r="AM6" i="1" s="1"/>
  <c r="X6" i="1"/>
  <c r="Z6" i="1"/>
  <c r="Y6" i="1"/>
  <c r="AB5" i="1"/>
  <c r="AH5" i="1"/>
  <c r="AO5" i="1" s="1"/>
  <c r="AF5" i="1"/>
  <c r="AM5" i="1" s="1"/>
  <c r="AD5" i="1"/>
  <c r="AK5" i="1" s="1"/>
  <c r="AB4" i="1"/>
  <c r="AH4" i="1"/>
  <c r="AO4" i="1" s="1"/>
  <c r="AF4" i="1"/>
  <c r="AM4" i="1" s="1"/>
  <c r="M52" i="1"/>
  <c r="AD4" i="1"/>
  <c r="AK4" i="1" s="1"/>
  <c r="AH3" i="1"/>
  <c r="AO3" i="1" s="1"/>
  <c r="AS6" i="1" l="1"/>
  <c r="AR6" i="1"/>
  <c r="AT19" i="1"/>
  <c r="AT21" i="1"/>
  <c r="AR10" i="1"/>
  <c r="AT6" i="1"/>
  <c r="AT8" i="1"/>
  <c r="AS19" i="1"/>
  <c r="R52" i="1"/>
  <c r="AB3" i="1"/>
  <c r="N52" i="1"/>
  <c r="AF3" i="1"/>
  <c r="AM3" i="1" s="1"/>
  <c r="Y5" i="1"/>
  <c r="X5" i="1"/>
  <c r="AD6" i="1"/>
  <c r="AK6" i="1" s="1"/>
  <c r="AD7" i="1"/>
  <c r="AK7" i="1" s="1"/>
  <c r="AG8" i="1"/>
  <c r="AN8" i="1" s="1"/>
  <c r="AA8" i="1"/>
  <c r="AG4" i="1"/>
  <c r="AN4" i="1" s="1"/>
  <c r="AA4" i="1"/>
  <c r="AG5" i="1"/>
  <c r="AN5" i="1" s="1"/>
  <c r="AA5" i="1"/>
  <c r="AG6" i="1"/>
  <c r="AN6" i="1" s="1"/>
  <c r="AA6" i="1"/>
  <c r="V52" i="1"/>
  <c r="L52" i="1"/>
  <c r="O52" i="1"/>
  <c r="AG3" i="1"/>
  <c r="AN3" i="1" s="1"/>
  <c r="AA3" i="1"/>
  <c r="Y4" i="1"/>
  <c r="Z5" i="1"/>
  <c r="Y7" i="1"/>
  <c r="X7" i="1"/>
  <c r="AD8" i="1"/>
  <c r="AK8" i="1" s="1"/>
  <c r="H52" i="1"/>
  <c r="AD3" i="1"/>
  <c r="AK3" i="1" s="1"/>
  <c r="Z4" i="1"/>
  <c r="X4" i="1"/>
  <c r="Z7" i="1"/>
  <c r="AG7" i="1"/>
  <c r="AN7" i="1" s="1"/>
  <c r="AA7" i="1"/>
  <c r="Y8" i="1"/>
  <c r="X8" i="1"/>
  <c r="Z10" i="1"/>
  <c r="Y10" i="1"/>
  <c r="Z9" i="1"/>
  <c r="Y9" i="1"/>
  <c r="X9" i="1"/>
  <c r="K52" i="1"/>
  <c r="P52" i="1"/>
  <c r="I52" i="1"/>
  <c r="D52" i="1"/>
  <c r="AT9" i="1" l="1"/>
  <c r="AS8" i="1"/>
  <c r="AR4" i="1"/>
  <c r="AS4" i="1"/>
  <c r="AR5" i="1"/>
  <c r="AS10" i="1"/>
  <c r="AT4" i="1"/>
  <c r="AR7" i="1"/>
  <c r="AS5" i="1"/>
  <c r="AR9" i="1"/>
  <c r="AT10" i="1"/>
  <c r="AS7" i="1"/>
  <c r="AS9" i="1"/>
  <c r="AR8" i="1"/>
  <c r="AT7" i="1"/>
  <c r="AT5" i="1"/>
  <c r="X3" i="1"/>
  <c r="AR3" i="1" s="1"/>
  <c r="J52" i="1"/>
  <c r="AE28" i="1"/>
  <c r="AL28" i="1" s="1"/>
  <c r="AE31" i="1"/>
  <c r="AL31" i="1" s="1"/>
  <c r="AE46" i="1"/>
  <c r="AL46" i="1" s="1"/>
  <c r="AC49" i="1"/>
  <c r="AC40" i="1"/>
  <c r="AC28" i="1"/>
  <c r="AE29" i="1"/>
  <c r="AL29" i="1" s="1"/>
  <c r="AC29" i="1"/>
  <c r="AE19" i="1"/>
  <c r="AL19" i="1" s="1"/>
  <c r="AE20" i="1"/>
  <c r="AL20" i="1" s="1"/>
  <c r="Z13" i="1"/>
  <c r="AC7" i="1"/>
  <c r="AE5" i="1"/>
  <c r="AL5" i="1" s="1"/>
  <c r="AE4" i="1"/>
  <c r="AL4" i="1" s="1"/>
  <c r="AE3" i="1"/>
  <c r="AL3" i="1" s="1"/>
  <c r="AE7" i="1"/>
  <c r="AL7" i="1" s="1"/>
  <c r="AE8" i="1"/>
  <c r="AL8" i="1" s="1"/>
  <c r="AE11" i="1"/>
  <c r="AL11" i="1" s="1"/>
  <c r="AE12" i="1"/>
  <c r="AL12" i="1" s="1"/>
  <c r="AE13" i="1"/>
  <c r="AL13" i="1" s="1"/>
  <c r="AE14" i="1"/>
  <c r="AL14" i="1" s="1"/>
  <c r="AE15" i="1"/>
  <c r="AL15" i="1" s="1"/>
  <c r="AE17" i="1"/>
  <c r="AL17" i="1" s="1"/>
  <c r="AE18" i="1"/>
  <c r="AL18" i="1" s="1"/>
  <c r="AE21" i="1"/>
  <c r="AL21" i="1" s="1"/>
  <c r="AE22" i="1"/>
  <c r="AL22" i="1" s="1"/>
  <c r="AE23" i="1"/>
  <c r="AL23" i="1" s="1"/>
  <c r="AE24" i="1"/>
  <c r="AL24" i="1" s="1"/>
  <c r="AE25" i="1"/>
  <c r="AL25" i="1" s="1"/>
  <c r="AE26" i="1"/>
  <c r="AL26" i="1" s="1"/>
  <c r="AE27" i="1"/>
  <c r="AL27" i="1" s="1"/>
  <c r="AE30" i="1"/>
  <c r="AL30" i="1" s="1"/>
  <c r="AE32" i="1"/>
  <c r="AL32" i="1" s="1"/>
  <c r="AE33" i="1"/>
  <c r="AL33" i="1" s="1"/>
  <c r="AE34" i="1"/>
  <c r="AL34" i="1" s="1"/>
  <c r="AE35" i="1"/>
  <c r="AL35" i="1" s="1"/>
  <c r="AE36" i="1"/>
  <c r="AL36" i="1" s="1"/>
  <c r="AE37" i="1"/>
  <c r="AL37" i="1" s="1"/>
  <c r="AE38" i="1"/>
  <c r="AL38" i="1" s="1"/>
  <c r="AE39" i="1"/>
  <c r="AL39" i="1" s="1"/>
  <c r="AE40" i="1"/>
  <c r="AL40" i="1" s="1"/>
  <c r="AE41" i="1"/>
  <c r="AL41" i="1" s="1"/>
  <c r="AE42" i="1"/>
  <c r="AL42" i="1" s="1"/>
  <c r="AE43" i="1"/>
  <c r="AL43" i="1" s="1"/>
  <c r="AE44" i="1"/>
  <c r="AL44" i="1" s="1"/>
  <c r="AE45" i="1"/>
  <c r="AL45" i="1" s="1"/>
  <c r="AE47" i="1"/>
  <c r="AL47" i="1" s="1"/>
  <c r="AE48" i="1"/>
  <c r="AL48" i="1" s="1"/>
  <c r="AE49" i="1"/>
  <c r="AL49" i="1" s="1"/>
  <c r="AE50" i="1"/>
  <c r="AL50" i="1" s="1"/>
  <c r="AE51" i="1"/>
  <c r="AL51" i="1" s="1"/>
  <c r="AC3" i="1"/>
  <c r="AC6" i="1"/>
  <c r="AC5" i="1"/>
  <c r="AC4" i="1"/>
  <c r="AE6" i="1"/>
  <c r="AL6" i="1" s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30" i="1"/>
  <c r="AC31" i="1"/>
  <c r="AC35" i="1"/>
  <c r="AC36" i="1"/>
  <c r="AC37" i="1"/>
  <c r="AC38" i="1"/>
  <c r="AC39" i="1"/>
  <c r="AC41" i="1"/>
  <c r="AC42" i="1"/>
  <c r="AC44" i="1"/>
  <c r="AC45" i="1"/>
  <c r="AC46" i="1"/>
  <c r="AC47" i="1"/>
  <c r="AC48" i="1"/>
  <c r="AC50" i="1"/>
  <c r="AC51" i="1"/>
  <c r="AC33" i="1"/>
  <c r="AC32" i="1"/>
  <c r="AT13" i="1" l="1"/>
  <c r="X11" i="1"/>
  <c r="Y11" i="1"/>
  <c r="Z11" i="1"/>
  <c r="X27" i="1"/>
  <c r="Y27" i="1"/>
  <c r="Z27" i="1"/>
  <c r="X14" i="1"/>
  <c r="Y14" i="1"/>
  <c r="Z14" i="1"/>
  <c r="X26" i="1"/>
  <c r="Y26" i="1"/>
  <c r="Z26" i="1"/>
  <c r="X45" i="1"/>
  <c r="Y45" i="1"/>
  <c r="Z45" i="1"/>
  <c r="X34" i="1"/>
  <c r="Y34" i="1"/>
  <c r="Z34" i="1"/>
  <c r="X13" i="1"/>
  <c r="Y13" i="1"/>
  <c r="X50" i="1"/>
  <c r="Y50" i="1"/>
  <c r="Z50" i="1"/>
  <c r="X18" i="1"/>
  <c r="Z18" i="1"/>
  <c r="Y18" i="1"/>
  <c r="X36" i="1"/>
  <c r="Y36" i="1"/>
  <c r="Z36" i="1"/>
  <c r="X15" i="1"/>
  <c r="Y15" i="1"/>
  <c r="Z15" i="1"/>
  <c r="X12" i="1"/>
  <c r="Y12" i="1"/>
  <c r="Z12" i="1"/>
  <c r="X42" i="1"/>
  <c r="Y42" i="1"/>
  <c r="Z42" i="1"/>
  <c r="X17" i="1"/>
  <c r="Y17" i="1"/>
  <c r="Z17" i="1"/>
  <c r="X41" i="1"/>
  <c r="Y41" i="1"/>
  <c r="Z41" i="1"/>
  <c r="E52" i="1"/>
  <c r="Y3" i="1"/>
  <c r="AA52" i="1"/>
  <c r="AC52" i="1"/>
  <c r="AB52" i="1"/>
  <c r="AG52" i="1"/>
  <c r="AD52" i="1"/>
  <c r="Q52" i="1"/>
  <c r="AF52" i="1"/>
  <c r="AJ52" i="1"/>
  <c r="AH52" i="1"/>
  <c r="G52" i="1"/>
  <c r="AI52" i="1"/>
  <c r="AB17" i="9"/>
  <c r="AE17" i="9"/>
  <c r="AD17" i="9"/>
  <c r="AC17" i="9"/>
  <c r="AF17" i="9"/>
  <c r="AQ52" i="1"/>
  <c r="AB19" i="9"/>
  <c r="AD19" i="9"/>
  <c r="AC19" i="9"/>
  <c r="AF19" i="9"/>
  <c r="AE19" i="9"/>
  <c r="AD12" i="9"/>
  <c r="AC12" i="9"/>
  <c r="AF12" i="9"/>
  <c r="AB12" i="9"/>
  <c r="AE12" i="9"/>
  <c r="AC14" i="9"/>
  <c r="AF14" i="9"/>
  <c r="AB14" i="9"/>
  <c r="AE14" i="9"/>
  <c r="AD14" i="9"/>
  <c r="AE13" i="9"/>
  <c r="AC13" i="9"/>
  <c r="AB13" i="9"/>
  <c r="AF13" i="9"/>
  <c r="AD13" i="9"/>
  <c r="AD18" i="9"/>
  <c r="AC18" i="9"/>
  <c r="AF18" i="9"/>
  <c r="AB18" i="9"/>
  <c r="AE18" i="9"/>
  <c r="AF15" i="9"/>
  <c r="AB15" i="9"/>
  <c r="AE15" i="9"/>
  <c r="AD15" i="9"/>
  <c r="AC15" i="9"/>
  <c r="AD16" i="9"/>
  <c r="AP52" i="1"/>
  <c r="AM52" i="1"/>
  <c r="AO52" i="1"/>
  <c r="AN52" i="1"/>
  <c r="AK52" i="1"/>
  <c r="AT41" i="1" l="1"/>
  <c r="AS17" i="1"/>
  <c r="AR42" i="1"/>
  <c r="AT15" i="1"/>
  <c r="AS36" i="1"/>
  <c r="AR18" i="1"/>
  <c r="AS13" i="1"/>
  <c r="AR34" i="1"/>
  <c r="AT26" i="1"/>
  <c r="AS14" i="1"/>
  <c r="AR27" i="1"/>
  <c r="AS41" i="1"/>
  <c r="AR17" i="1"/>
  <c r="AT12" i="1"/>
  <c r="AS15" i="1"/>
  <c r="AR36" i="1"/>
  <c r="AT50" i="1"/>
  <c r="AR13" i="1"/>
  <c r="AT45" i="1"/>
  <c r="AS26" i="1"/>
  <c r="AR14" i="1"/>
  <c r="AT11" i="1"/>
  <c r="AS3" i="1"/>
  <c r="AR41" i="1"/>
  <c r="AT42" i="1"/>
  <c r="AS12" i="1"/>
  <c r="AR15" i="1"/>
  <c r="AS18" i="1"/>
  <c r="AS50" i="1"/>
  <c r="AT34" i="1"/>
  <c r="AS45" i="1"/>
  <c r="AR26" i="1"/>
  <c r="AT27" i="1"/>
  <c r="AS11" i="1"/>
  <c r="AT17" i="1"/>
  <c r="AS42" i="1"/>
  <c r="AR12" i="1"/>
  <c r="AT36" i="1"/>
  <c r="AT18" i="1"/>
  <c r="AR50" i="1"/>
  <c r="AS34" i="1"/>
  <c r="AR45" i="1"/>
  <c r="AT14" i="1"/>
  <c r="AS27" i="1"/>
  <c r="AR11" i="1"/>
  <c r="I2" i="9"/>
  <c r="F52" i="1"/>
  <c r="Z3" i="1"/>
  <c r="Y52" i="1"/>
  <c r="AB9" i="9"/>
  <c r="T2" i="9"/>
  <c r="S2" i="9"/>
  <c r="U2" i="9"/>
  <c r="Q2" i="9"/>
  <c r="H2" i="9"/>
  <c r="G2" i="9"/>
  <c r="G11" i="9"/>
  <c r="X52" i="1"/>
  <c r="G35" i="9"/>
  <c r="G33" i="9"/>
  <c r="G24" i="9"/>
  <c r="G29" i="9"/>
  <c r="G26" i="9"/>
  <c r="G15" i="9"/>
  <c r="G43" i="9"/>
  <c r="G9" i="9"/>
  <c r="AE52" i="1"/>
  <c r="G41" i="9"/>
  <c r="G22" i="9"/>
  <c r="G25" i="9"/>
  <c r="AB16" i="9"/>
  <c r="G8" i="9"/>
  <c r="AD21" i="9"/>
  <c r="AF9" i="9"/>
  <c r="AF16" i="9"/>
  <c r="AC16" i="9"/>
  <c r="G7" i="9"/>
  <c r="AE16" i="9"/>
  <c r="I11" i="9"/>
  <c r="AF20" i="9"/>
  <c r="AE20" i="9"/>
  <c r="AB20" i="9"/>
  <c r="AD20" i="9"/>
  <c r="AC20" i="9"/>
  <c r="AD28" i="9"/>
  <c r="AC28" i="9"/>
  <c r="AF28" i="9"/>
  <c r="AB28" i="9"/>
  <c r="AE28" i="9"/>
  <c r="AD23" i="9"/>
  <c r="AC23" i="9"/>
  <c r="AF23" i="9"/>
  <c r="AB23" i="9"/>
  <c r="AE23" i="9"/>
  <c r="AE22" i="9"/>
  <c r="AD22" i="9"/>
  <c r="AC22" i="9"/>
  <c r="AF22" i="9"/>
  <c r="AB22" i="9"/>
  <c r="G39" i="9"/>
  <c r="G4" i="9"/>
  <c r="G51" i="9"/>
  <c r="G17" i="9"/>
  <c r="G31" i="9"/>
  <c r="G50" i="9"/>
  <c r="G48" i="9"/>
  <c r="G44" i="9"/>
  <c r="G14" i="9"/>
  <c r="AD9" i="9"/>
  <c r="AC24" i="9"/>
  <c r="AF24" i="9"/>
  <c r="AB24" i="9"/>
  <c r="AE24" i="9"/>
  <c r="AD24" i="9"/>
  <c r="G23" i="9"/>
  <c r="G45" i="9"/>
  <c r="G6" i="9"/>
  <c r="G12" i="9"/>
  <c r="G3" i="9"/>
  <c r="G28" i="9"/>
  <c r="G32" i="9"/>
  <c r="G16" i="9"/>
  <c r="G19" i="9"/>
  <c r="G21" i="9"/>
  <c r="G30" i="9"/>
  <c r="G40" i="9"/>
  <c r="G42" i="9"/>
  <c r="AE9" i="9"/>
  <c r="AC9" i="9"/>
  <c r="AB10" i="9"/>
  <c r="AC10" i="9"/>
  <c r="AF10" i="9"/>
  <c r="AE10" i="9"/>
  <c r="AD10" i="9"/>
  <c r="G49" i="9"/>
  <c r="G10" i="9"/>
  <c r="G38" i="9"/>
  <c r="G36" i="9"/>
  <c r="G34" i="9"/>
  <c r="G5" i="9"/>
  <c r="G20" i="9"/>
  <c r="G46" i="9"/>
  <c r="G18" i="9"/>
  <c r="G37" i="9"/>
  <c r="G47" i="9"/>
  <c r="G13" i="9"/>
  <c r="G27" i="9"/>
  <c r="AF27" i="9"/>
  <c r="AB27" i="9"/>
  <c r="AE27" i="9"/>
  <c r="AD27" i="9"/>
  <c r="AC27" i="9"/>
  <c r="H14" i="9"/>
  <c r="H40" i="9"/>
  <c r="H25" i="9"/>
  <c r="H31" i="9"/>
  <c r="H35" i="9"/>
  <c r="H43" i="9"/>
  <c r="H15" i="9"/>
  <c r="H42" i="9"/>
  <c r="H50" i="9"/>
  <c r="H45" i="9"/>
  <c r="H3" i="9"/>
  <c r="H11" i="9"/>
  <c r="H34" i="9"/>
  <c r="H44" i="9"/>
  <c r="Q28" i="9"/>
  <c r="Q44" i="9"/>
  <c r="H17" i="9"/>
  <c r="H36" i="9"/>
  <c r="H5" i="9"/>
  <c r="H20" i="9"/>
  <c r="H22" i="9"/>
  <c r="H41" i="9"/>
  <c r="H24" i="9"/>
  <c r="H51" i="9"/>
  <c r="H28" i="9"/>
  <c r="H18" i="9"/>
  <c r="H13" i="9"/>
  <c r="H7" i="9"/>
  <c r="H12" i="9"/>
  <c r="H19" i="9"/>
  <c r="H33" i="9"/>
  <c r="H38" i="9"/>
  <c r="H23" i="9"/>
  <c r="H29" i="9"/>
  <c r="H48" i="9"/>
  <c r="H10" i="9"/>
  <c r="H4" i="9"/>
  <c r="H37" i="9"/>
  <c r="H32" i="9"/>
  <c r="H46" i="9"/>
  <c r="H39" i="9"/>
  <c r="H30" i="9"/>
  <c r="H47" i="9"/>
  <c r="H8" i="9"/>
  <c r="H16" i="9"/>
  <c r="H26" i="9"/>
  <c r="H6" i="9"/>
  <c r="H49" i="9"/>
  <c r="H21" i="9"/>
  <c r="H27" i="9"/>
  <c r="H9" i="9"/>
  <c r="Q35" i="9"/>
  <c r="S20" i="9"/>
  <c r="Q12" i="9"/>
  <c r="Q4" i="9"/>
  <c r="Q36" i="9"/>
  <c r="Q24" i="9"/>
  <c r="S46" i="9"/>
  <c r="S40" i="9"/>
  <c r="Q21" i="9"/>
  <c r="Q3" i="9"/>
  <c r="Q37" i="9"/>
  <c r="S47" i="9"/>
  <c r="Q19" i="9"/>
  <c r="Q38" i="9"/>
  <c r="S7" i="9"/>
  <c r="S18" i="9"/>
  <c r="Q11" i="9"/>
  <c r="Q31" i="9"/>
  <c r="Q5" i="9"/>
  <c r="Q42" i="9"/>
  <c r="Q41" i="9"/>
  <c r="Q16" i="9"/>
  <c r="Q14" i="9"/>
  <c r="Q45" i="9"/>
  <c r="Q29" i="9"/>
  <c r="Q46" i="9"/>
  <c r="Q40" i="9"/>
  <c r="Q26" i="9"/>
  <c r="Q33" i="9"/>
  <c r="Q7" i="9"/>
  <c r="Q50" i="9"/>
  <c r="Q22" i="9"/>
  <c r="Q18" i="9"/>
  <c r="Q15" i="9"/>
  <c r="Q8" i="9"/>
  <c r="Q25" i="9"/>
  <c r="Q51" i="9"/>
  <c r="Q6" i="9"/>
  <c r="Q47" i="9"/>
  <c r="Q48" i="9"/>
  <c r="Q13" i="9"/>
  <c r="Q23" i="9"/>
  <c r="Q17" i="9"/>
  <c r="Q43" i="9"/>
  <c r="Q34" i="9"/>
  <c r="Q49" i="9"/>
  <c r="Q30" i="9"/>
  <c r="Q39" i="9"/>
  <c r="Q32" i="9"/>
  <c r="Q20" i="9"/>
  <c r="Q10" i="9"/>
  <c r="Q27" i="9"/>
  <c r="Q9" i="9"/>
  <c r="S13" i="9"/>
  <c r="S41" i="9"/>
  <c r="S42" i="9"/>
  <c r="S51" i="9"/>
  <c r="S23" i="9"/>
  <c r="S6" i="9"/>
  <c r="S31" i="9"/>
  <c r="S45" i="9"/>
  <c r="S24" i="9"/>
  <c r="S36" i="9"/>
  <c r="S27" i="9"/>
  <c r="S33" i="9"/>
  <c r="S14" i="9"/>
  <c r="S49" i="9"/>
  <c r="S26" i="9"/>
  <c r="S4" i="9"/>
  <c r="S37" i="9"/>
  <c r="S8" i="9"/>
  <c r="S39" i="9"/>
  <c r="S32" i="9"/>
  <c r="S30" i="9"/>
  <c r="S9" i="9"/>
  <c r="S25" i="9"/>
  <c r="S12" i="9"/>
  <c r="S50" i="9"/>
  <c r="S43" i="9"/>
  <c r="S22" i="9"/>
  <c r="S21" i="9"/>
  <c r="S11" i="9"/>
  <c r="S34" i="9"/>
  <c r="S16" i="9"/>
  <c r="S10" i="9"/>
  <c r="U9" i="9"/>
  <c r="U10" i="9"/>
  <c r="U33" i="9"/>
  <c r="U8" i="9"/>
  <c r="U44" i="9"/>
  <c r="U18" i="9"/>
  <c r="U46" i="9"/>
  <c r="U30" i="9"/>
  <c r="U15" i="9"/>
  <c r="U5" i="9"/>
  <c r="U23" i="9"/>
  <c r="U14" i="9"/>
  <c r="U26" i="9"/>
  <c r="U48" i="9"/>
  <c r="U20" i="9"/>
  <c r="U42" i="9"/>
  <c r="U34" i="9"/>
  <c r="U22" i="9"/>
  <c r="U3" i="9"/>
  <c r="U16" i="9"/>
  <c r="U17" i="9"/>
  <c r="U47" i="9"/>
  <c r="U38" i="9"/>
  <c r="U50" i="9"/>
  <c r="U29" i="9"/>
  <c r="U37" i="9"/>
  <c r="U31" i="9"/>
  <c r="U27" i="9"/>
  <c r="U24" i="9"/>
  <c r="U21" i="9"/>
  <c r="U28" i="9"/>
  <c r="U12" i="9"/>
  <c r="U19" i="9"/>
  <c r="U40" i="9"/>
  <c r="U25" i="9"/>
  <c r="U36" i="9"/>
  <c r="U43" i="9"/>
  <c r="U4" i="9"/>
  <c r="U45" i="9"/>
  <c r="U49" i="9"/>
  <c r="U51" i="9"/>
  <c r="U7" i="9"/>
  <c r="U6" i="9"/>
  <c r="U32" i="9"/>
  <c r="U41" i="9"/>
  <c r="U11" i="9"/>
  <c r="U39" i="9"/>
  <c r="U13" i="9"/>
  <c r="U35" i="9"/>
  <c r="T24" i="9"/>
  <c r="T8" i="9"/>
  <c r="T51" i="9"/>
  <c r="T7" i="9"/>
  <c r="T6" i="9"/>
  <c r="T4" i="9"/>
  <c r="T48" i="9"/>
  <c r="T49" i="9"/>
  <c r="T31" i="9"/>
  <c r="T13" i="9"/>
  <c r="T43" i="9"/>
  <c r="T28" i="9"/>
  <c r="T44" i="9"/>
  <c r="T3" i="9"/>
  <c r="T26" i="9"/>
  <c r="T23" i="9"/>
  <c r="T40" i="9"/>
  <c r="T5" i="9"/>
  <c r="T32" i="9"/>
  <c r="T46" i="9"/>
  <c r="T25" i="9"/>
  <c r="T45" i="9"/>
  <c r="T22" i="9"/>
  <c r="T29" i="9"/>
  <c r="T15" i="9"/>
  <c r="T35" i="9"/>
  <c r="T41" i="9"/>
  <c r="T50" i="9"/>
  <c r="T19" i="9"/>
  <c r="T17" i="9"/>
  <c r="T27" i="9"/>
  <c r="T10" i="9"/>
  <c r="T9" i="9"/>
  <c r="T20" i="9"/>
  <c r="T21" i="9"/>
  <c r="T18" i="9"/>
  <c r="T36" i="9"/>
  <c r="T42" i="9"/>
  <c r="T39" i="9"/>
  <c r="T34" i="9"/>
  <c r="T37" i="9"/>
  <c r="T16" i="9"/>
  <c r="T12" i="9"/>
  <c r="T30" i="9"/>
  <c r="T33" i="9"/>
  <c r="T38" i="9"/>
  <c r="T11" i="9"/>
  <c r="T14" i="9"/>
  <c r="T47" i="9"/>
  <c r="S28" i="9"/>
  <c r="S48" i="9"/>
  <c r="S44" i="9"/>
  <c r="S17" i="9"/>
  <c r="S35" i="9"/>
  <c r="S38" i="9"/>
  <c r="S3" i="9"/>
  <c r="S15" i="9"/>
  <c r="S19" i="9"/>
  <c r="S5" i="9"/>
  <c r="S29" i="9"/>
  <c r="I29" i="9"/>
  <c r="I4" i="9"/>
  <c r="I32" i="9"/>
  <c r="I26" i="9"/>
  <c r="I40" i="9"/>
  <c r="I15" i="9"/>
  <c r="I17" i="9"/>
  <c r="I48" i="9"/>
  <c r="I14" i="9"/>
  <c r="I23" i="9"/>
  <c r="I38" i="9"/>
  <c r="I7" i="9"/>
  <c r="I3" i="9"/>
  <c r="I39" i="9"/>
  <c r="I10" i="9"/>
  <c r="I20" i="9"/>
  <c r="I42" i="9"/>
  <c r="I51" i="9"/>
  <c r="I47" i="9"/>
  <c r="I8" i="9"/>
  <c r="I25" i="9"/>
  <c r="I18" i="9"/>
  <c r="I12" i="9"/>
  <c r="I49" i="9"/>
  <c r="I5" i="9"/>
  <c r="I19" i="9"/>
  <c r="I41" i="9"/>
  <c r="I33" i="9"/>
  <c r="I22" i="9"/>
  <c r="I13" i="9"/>
  <c r="I30" i="9"/>
  <c r="I36" i="9"/>
  <c r="I16" i="9"/>
  <c r="I9" i="9"/>
  <c r="I43" i="9"/>
  <c r="I28" i="9"/>
  <c r="I6" i="9"/>
  <c r="I46" i="9"/>
  <c r="I21" i="9"/>
  <c r="I35" i="9"/>
  <c r="I37" i="9"/>
  <c r="I24" i="9"/>
  <c r="I50" i="9"/>
  <c r="I31" i="9"/>
  <c r="I34" i="9"/>
  <c r="I27" i="9"/>
  <c r="I44" i="9"/>
  <c r="I45" i="9"/>
  <c r="V2" i="9" l="1"/>
  <c r="D2" i="9"/>
  <c r="AB29" i="9"/>
  <c r="AK2" i="9"/>
  <c r="V3" i="9"/>
  <c r="V23" i="9"/>
  <c r="V43" i="9"/>
  <c r="AF29" i="9"/>
  <c r="AD30" i="9"/>
  <c r="AF30" i="9"/>
  <c r="AC30" i="9"/>
  <c r="AE30" i="9"/>
  <c r="AB30" i="9"/>
  <c r="AD29" i="9"/>
  <c r="V31" i="9"/>
  <c r="V48" i="9"/>
  <c r="AE29" i="9"/>
  <c r="V29" i="9"/>
  <c r="AC29" i="9"/>
  <c r="V21" i="9"/>
  <c r="V40" i="9"/>
  <c r="V10" i="9"/>
  <c r="V20" i="9"/>
  <c r="V24" i="9"/>
  <c r="V35" i="9"/>
  <c r="V38" i="9"/>
  <c r="V39" i="9"/>
  <c r="V5" i="9"/>
  <c r="W34" i="9"/>
  <c r="V6" i="9"/>
  <c r="V16" i="9"/>
  <c r="V25" i="9"/>
  <c r="V33" i="9"/>
  <c r="V30" i="9"/>
  <c r="V46" i="9"/>
  <c r="V49" i="9"/>
  <c r="W27" i="9"/>
  <c r="V22" i="9"/>
  <c r="V19" i="9"/>
  <c r="V28" i="9"/>
  <c r="V32" i="9"/>
  <c r="V37" i="9"/>
  <c r="V47" i="9"/>
  <c r="V51" i="9"/>
  <c r="V44" i="9"/>
  <c r="V45" i="9"/>
  <c r="V50" i="9"/>
  <c r="W42" i="9"/>
  <c r="W11" i="9"/>
  <c r="V26" i="9"/>
  <c r="W18" i="9"/>
  <c r="W12" i="9"/>
  <c r="V41" i="9"/>
  <c r="V14" i="9"/>
  <c r="W15" i="9"/>
  <c r="V17" i="9"/>
  <c r="V27" i="9"/>
  <c r="W13" i="9"/>
  <c r="W36" i="9"/>
  <c r="V42" i="9"/>
  <c r="Z52" i="1"/>
  <c r="AT3" i="1"/>
  <c r="V11" i="9"/>
  <c r="V8" i="9"/>
  <c r="V9" i="9"/>
  <c r="V4" i="9"/>
  <c r="V12" i="9"/>
  <c r="W45" i="9"/>
  <c r="W50" i="9"/>
  <c r="V15" i="9"/>
  <c r="W3" i="9"/>
  <c r="W2" i="9"/>
  <c r="W51" i="9"/>
  <c r="W49" i="9"/>
  <c r="W46" i="9"/>
  <c r="W44" i="9"/>
  <c r="W48" i="9"/>
  <c r="W37" i="9"/>
  <c r="W31" i="9"/>
  <c r="W40" i="9"/>
  <c r="W43" i="9"/>
  <c r="W47" i="9"/>
  <c r="W39" i="9"/>
  <c r="W30" i="9"/>
  <c r="W35" i="9"/>
  <c r="W32" i="9"/>
  <c r="W38" i="9"/>
  <c r="W33" i="9"/>
  <c r="W29" i="9"/>
  <c r="W28" i="9"/>
  <c r="W25" i="9"/>
  <c r="W23" i="9"/>
  <c r="W24" i="9"/>
  <c r="W16" i="9"/>
  <c r="W21" i="9"/>
  <c r="W22" i="9"/>
  <c r="W20" i="9"/>
  <c r="W19" i="9"/>
  <c r="W6" i="9"/>
  <c r="W7" i="9"/>
  <c r="W9" i="9"/>
  <c r="W4" i="9"/>
  <c r="W5" i="9"/>
  <c r="W8" i="9"/>
  <c r="W10" i="9"/>
  <c r="W26" i="9"/>
  <c r="V13" i="9"/>
  <c r="V36" i="9"/>
  <c r="W41" i="9"/>
  <c r="W14" i="9"/>
  <c r="V34" i="9"/>
  <c r="V18" i="9"/>
  <c r="W17" i="9"/>
  <c r="V7" i="9"/>
  <c r="R40" i="9"/>
  <c r="AF11" i="9"/>
  <c r="AC11" i="9"/>
  <c r="AD11" i="9"/>
  <c r="L2" i="9"/>
  <c r="AB11" i="9"/>
  <c r="AE11" i="9"/>
  <c r="AK5" i="9"/>
  <c r="AK32" i="9"/>
  <c r="AK6" i="9"/>
  <c r="AK48" i="9"/>
  <c r="AK25" i="9"/>
  <c r="AK9" i="9"/>
  <c r="AK23" i="9"/>
  <c r="AK14" i="9"/>
  <c r="AK39" i="9"/>
  <c r="N2" i="9"/>
  <c r="P2" i="9"/>
  <c r="O2" i="9"/>
  <c r="M2" i="9"/>
  <c r="R29" i="9"/>
  <c r="R2" i="9"/>
  <c r="J2" i="9"/>
  <c r="AK13" i="9"/>
  <c r="AK46" i="9"/>
  <c r="AK42" i="9"/>
  <c r="AK3" i="9"/>
  <c r="AK31" i="9"/>
  <c r="AK15" i="9"/>
  <c r="AK33" i="9"/>
  <c r="AK37" i="9"/>
  <c r="AK10" i="9"/>
  <c r="AK30" i="9"/>
  <c r="AK51" i="9"/>
  <c r="AK29" i="9"/>
  <c r="AK27" i="9"/>
  <c r="AK18" i="9"/>
  <c r="AK34" i="9"/>
  <c r="AK49" i="9"/>
  <c r="AK21" i="9"/>
  <c r="AK28" i="9"/>
  <c r="AK45" i="9"/>
  <c r="AK50" i="9"/>
  <c r="AK4" i="9"/>
  <c r="AK7" i="9"/>
  <c r="AK22" i="9"/>
  <c r="AK43" i="9"/>
  <c r="AK24" i="9"/>
  <c r="AK11" i="9"/>
  <c r="AK36" i="9"/>
  <c r="AK19" i="9"/>
  <c r="AK8" i="9"/>
  <c r="AK41" i="9"/>
  <c r="AK47" i="9"/>
  <c r="AK20" i="9"/>
  <c r="AK38" i="9"/>
  <c r="AK40" i="9"/>
  <c r="AK16" i="9"/>
  <c r="AK12" i="9"/>
  <c r="AK44" i="9"/>
  <c r="AK17" i="9"/>
  <c r="AK26" i="9"/>
  <c r="AK35" i="9"/>
  <c r="E2" i="9"/>
  <c r="R22" i="9"/>
  <c r="E49" i="9"/>
  <c r="R35" i="9"/>
  <c r="R8" i="9"/>
  <c r="R33" i="9"/>
  <c r="R45" i="9"/>
  <c r="AE21" i="9"/>
  <c r="P12" i="9"/>
  <c r="P50" i="9"/>
  <c r="P22" i="9"/>
  <c r="O29" i="9"/>
  <c r="AL52" i="1"/>
  <c r="R41" i="9"/>
  <c r="R44" i="9"/>
  <c r="R43" i="9"/>
  <c r="R37" i="9"/>
  <c r="R23" i="9"/>
  <c r="R9" i="9"/>
  <c r="R34" i="9"/>
  <c r="R25" i="9"/>
  <c r="R15" i="9"/>
  <c r="R39" i="9"/>
  <c r="R36" i="9"/>
  <c r="R28" i="9"/>
  <c r="R10" i="9"/>
  <c r="R51" i="9"/>
  <c r="R46" i="9"/>
  <c r="R7" i="9"/>
  <c r="R17" i="9"/>
  <c r="R16" i="9"/>
  <c r="R21" i="9"/>
  <c r="R31" i="9"/>
  <c r="R6" i="9"/>
  <c r="R3" i="9"/>
  <c r="R4" i="9"/>
  <c r="R27" i="9"/>
  <c r="R50" i="9"/>
  <c r="R11" i="9"/>
  <c r="R32" i="9"/>
  <c r="R12" i="9"/>
  <c r="R30" i="9"/>
  <c r="R38" i="9"/>
  <c r="R5" i="9"/>
  <c r="O5" i="9"/>
  <c r="P27" i="9"/>
  <c r="R20" i="9"/>
  <c r="R49" i="9"/>
  <c r="R18" i="9"/>
  <c r="R24" i="9"/>
  <c r="R14" i="9"/>
  <c r="R42" i="9"/>
  <c r="R13" i="9"/>
  <c r="R26" i="9"/>
  <c r="R19" i="9"/>
  <c r="R48" i="9"/>
  <c r="R47" i="9"/>
  <c r="O21" i="9"/>
  <c r="P21" i="9"/>
  <c r="P8" i="9"/>
  <c r="P23" i="9"/>
  <c r="AF21" i="9"/>
  <c r="P25" i="9"/>
  <c r="P7" i="9"/>
  <c r="O43" i="9"/>
  <c r="AB21" i="9"/>
  <c r="AC21" i="9"/>
  <c r="N19" i="9"/>
  <c r="P49" i="9"/>
  <c r="P19" i="9"/>
  <c r="P9" i="9"/>
  <c r="P48" i="9"/>
  <c r="O17" i="9"/>
  <c r="O34" i="9"/>
  <c r="O26" i="9"/>
  <c r="O40" i="9"/>
  <c r="O25" i="9"/>
  <c r="P29" i="9"/>
  <c r="P5" i="9"/>
  <c r="O16" i="9"/>
  <c r="O39" i="9"/>
  <c r="P37" i="9"/>
  <c r="P26" i="9"/>
  <c r="P44" i="9"/>
  <c r="P28" i="9"/>
  <c r="P36" i="9"/>
  <c r="P13" i="9"/>
  <c r="P35" i="9"/>
  <c r="P31" i="9"/>
  <c r="O14" i="9"/>
  <c r="O7" i="9"/>
  <c r="O51" i="9"/>
  <c r="O50" i="9"/>
  <c r="O19" i="9"/>
  <c r="O6" i="9"/>
  <c r="O3" i="9"/>
  <c r="O49" i="9"/>
  <c r="P46" i="9"/>
  <c r="P47" i="9"/>
  <c r="O45" i="9"/>
  <c r="O48" i="9"/>
  <c r="P16" i="9"/>
  <c r="P32" i="9"/>
  <c r="P18" i="9"/>
  <c r="O41" i="9"/>
  <c r="O27" i="9"/>
  <c r="O23" i="9"/>
  <c r="O31" i="9"/>
  <c r="O4" i="9"/>
  <c r="O8" i="9"/>
  <c r="P45" i="9"/>
  <c r="P41" i="9"/>
  <c r="P51" i="9"/>
  <c r="P24" i="9"/>
  <c r="P10" i="9"/>
  <c r="P38" i="9"/>
  <c r="P43" i="9"/>
  <c r="P42" i="9"/>
  <c r="P39" i="9"/>
  <c r="P30" i="9"/>
  <c r="O22" i="9"/>
  <c r="P33" i="9"/>
  <c r="P15" i="9"/>
  <c r="P6" i="9"/>
  <c r="O28" i="9"/>
  <c r="O24" i="9"/>
  <c r="O18" i="9"/>
  <c r="O44" i="9"/>
  <c r="O32" i="9"/>
  <c r="P11" i="9"/>
  <c r="P40" i="9"/>
  <c r="P17" i="9"/>
  <c r="P4" i="9"/>
  <c r="P34" i="9"/>
  <c r="P3" i="9"/>
  <c r="P20" i="9"/>
  <c r="P14" i="9"/>
  <c r="O47" i="9"/>
  <c r="O20" i="9"/>
  <c r="O9" i="9"/>
  <c r="O38" i="9"/>
  <c r="O12" i="9"/>
  <c r="O11" i="9"/>
  <c r="O37" i="9"/>
  <c r="O30" i="9"/>
  <c r="O36" i="9"/>
  <c r="O15" i="9"/>
  <c r="O33" i="9"/>
  <c r="O42" i="9"/>
  <c r="O46" i="9"/>
  <c r="O10" i="9"/>
  <c r="O13" i="9"/>
  <c r="O35" i="9"/>
  <c r="N42" i="9"/>
  <c r="N47" i="9"/>
  <c r="N29" i="9"/>
  <c r="N20" i="9"/>
  <c r="N27" i="9"/>
  <c r="N38" i="9"/>
  <c r="N33" i="9"/>
  <c r="N9" i="9"/>
  <c r="N50" i="9"/>
  <c r="N37" i="9"/>
  <c r="N14" i="9"/>
  <c r="N35" i="9"/>
  <c r="N23" i="9"/>
  <c r="N12" i="9"/>
  <c r="N7" i="9"/>
  <c r="N28" i="9"/>
  <c r="N15" i="9"/>
  <c r="N49" i="9"/>
  <c r="N26" i="9"/>
  <c r="N25" i="9"/>
  <c r="N40" i="9"/>
  <c r="M29" i="9"/>
  <c r="M28" i="9"/>
  <c r="M33" i="9"/>
  <c r="M31" i="9"/>
  <c r="M47" i="9"/>
  <c r="M35" i="9"/>
  <c r="M41" i="9"/>
  <c r="M3" i="9"/>
  <c r="M14" i="9"/>
  <c r="M24" i="9"/>
  <c r="M15" i="9"/>
  <c r="M39" i="9"/>
  <c r="M26" i="9"/>
  <c r="M25" i="9"/>
  <c r="M23" i="9"/>
  <c r="M5" i="9"/>
  <c r="M4" i="9"/>
  <c r="M42" i="9"/>
  <c r="M20" i="9"/>
  <c r="M40" i="9"/>
  <c r="M50" i="9"/>
  <c r="M9" i="9"/>
  <c r="M44" i="9"/>
  <c r="M17" i="9"/>
  <c r="M10" i="9"/>
  <c r="M32" i="9"/>
  <c r="M27" i="9"/>
  <c r="M22" i="9"/>
  <c r="M7" i="9"/>
  <c r="M19" i="9"/>
  <c r="M51" i="9"/>
  <c r="M48" i="9"/>
  <c r="M21" i="9"/>
  <c r="M43" i="9"/>
  <c r="M49" i="9"/>
  <c r="M45" i="9"/>
  <c r="M6" i="9"/>
  <c r="M36" i="9"/>
  <c r="M46" i="9"/>
  <c r="M34" i="9"/>
  <c r="M37" i="9"/>
  <c r="M13" i="9"/>
  <c r="M8" i="9"/>
  <c r="M16" i="9"/>
  <c r="M11" i="9"/>
  <c r="M18" i="9"/>
  <c r="M38" i="9"/>
  <c r="M30" i="9"/>
  <c r="M12" i="9"/>
  <c r="N31" i="9"/>
  <c r="N22" i="9"/>
  <c r="N18" i="9"/>
  <c r="N3" i="9"/>
  <c r="N32" i="9"/>
  <c r="N36" i="9"/>
  <c r="N48" i="9"/>
  <c r="N44" i="9"/>
  <c r="N6" i="9"/>
  <c r="N5" i="9"/>
  <c r="N34" i="9"/>
  <c r="L45" i="9"/>
  <c r="L4" i="9"/>
  <c r="L31" i="9"/>
  <c r="L29" i="9"/>
  <c r="L9" i="9"/>
  <c r="L40" i="9"/>
  <c r="L44" i="9"/>
  <c r="L50" i="9"/>
  <c r="L17" i="9"/>
  <c r="L7" i="9"/>
  <c r="L48" i="9"/>
  <c r="L3" i="9"/>
  <c r="L12" i="9"/>
  <c r="AL12" i="9" s="1"/>
  <c r="L39" i="9"/>
  <c r="L5" i="9"/>
  <c r="L27" i="9"/>
  <c r="L8" i="9"/>
  <c r="L32" i="9"/>
  <c r="AL32" i="9" s="1"/>
  <c r="L26" i="9"/>
  <c r="L38" i="9"/>
  <c r="L33" i="9"/>
  <c r="L18" i="9"/>
  <c r="L22" i="9"/>
  <c r="L49" i="9"/>
  <c r="L51" i="9"/>
  <c r="L15" i="9"/>
  <c r="L35" i="9"/>
  <c r="L13" i="9"/>
  <c r="L25" i="9"/>
  <c r="L37" i="9"/>
  <c r="L43" i="9"/>
  <c r="L28" i="9"/>
  <c r="L47" i="9"/>
  <c r="AL47" i="9" s="1"/>
  <c r="L19" i="9"/>
  <c r="L10" i="9"/>
  <c r="L41" i="9"/>
  <c r="L6" i="9"/>
  <c r="L14" i="9"/>
  <c r="L36" i="9"/>
  <c r="L34" i="9"/>
  <c r="AL34" i="9" s="1"/>
  <c r="L16" i="9"/>
  <c r="L21" i="9"/>
  <c r="L42" i="9"/>
  <c r="L46" i="9"/>
  <c r="L23" i="9"/>
  <c r="L30" i="9"/>
  <c r="L11" i="9"/>
  <c r="L20" i="9"/>
  <c r="L24" i="9"/>
  <c r="N45" i="9"/>
  <c r="N8" i="9"/>
  <c r="N30" i="9"/>
  <c r="N21" i="9"/>
  <c r="N46" i="9"/>
  <c r="N24" i="9"/>
  <c r="N39" i="9"/>
  <c r="N17" i="9"/>
  <c r="N11" i="9"/>
  <c r="N4" i="9"/>
  <c r="N43" i="9"/>
  <c r="N10" i="9"/>
  <c r="N16" i="9"/>
  <c r="N41" i="9"/>
  <c r="N13" i="9"/>
  <c r="N51" i="9"/>
  <c r="J25" i="9"/>
  <c r="J23" i="9"/>
  <c r="J51" i="9"/>
  <c r="J39" i="9"/>
  <c r="J35" i="9"/>
  <c r="J18" i="9"/>
  <c r="J48" i="9"/>
  <c r="J50" i="9"/>
  <c r="J37" i="9"/>
  <c r="J8" i="9"/>
  <c r="J45" i="9"/>
  <c r="J28" i="9"/>
  <c r="J6" i="9"/>
  <c r="J14" i="9"/>
  <c r="J16" i="9"/>
  <c r="J22" i="9"/>
  <c r="J33" i="9"/>
  <c r="J47" i="9"/>
  <c r="J34" i="9"/>
  <c r="J27" i="9"/>
  <c r="J41" i="9"/>
  <c r="J21" i="9"/>
  <c r="J24" i="9"/>
  <c r="J7" i="9"/>
  <c r="J3" i="9"/>
  <c r="J26" i="9"/>
  <c r="J15" i="9"/>
  <c r="J31" i="9"/>
  <c r="J13" i="9"/>
  <c r="J44" i="9"/>
  <c r="J42" i="9"/>
  <c r="J9" i="9"/>
  <c r="J38" i="9"/>
  <c r="J17" i="9"/>
  <c r="J12" i="9"/>
  <c r="J32" i="9"/>
  <c r="J46" i="9"/>
  <c r="J4" i="9"/>
  <c r="J36" i="9"/>
  <c r="J40" i="9"/>
  <c r="J20" i="9"/>
  <c r="J19" i="9"/>
  <c r="J29" i="9"/>
  <c r="J10" i="9"/>
  <c r="J30" i="9"/>
  <c r="J49" i="9"/>
  <c r="J5" i="9"/>
  <c r="J11" i="9"/>
  <c r="J43" i="9"/>
  <c r="D17" i="9"/>
  <c r="D37" i="9"/>
  <c r="D35" i="9"/>
  <c r="D29" i="9"/>
  <c r="D3" i="9"/>
  <c r="D41" i="9"/>
  <c r="D33" i="9"/>
  <c r="D50" i="9"/>
  <c r="D38" i="9"/>
  <c r="D22" i="9"/>
  <c r="D49" i="9"/>
  <c r="D5" i="9"/>
  <c r="D25" i="9"/>
  <c r="D20" i="9"/>
  <c r="D23" i="9"/>
  <c r="D8" i="9"/>
  <c r="D47" i="9"/>
  <c r="D31" i="9"/>
  <c r="D7" i="9"/>
  <c r="D30" i="9"/>
  <c r="D36" i="9"/>
  <c r="D45" i="9"/>
  <c r="D42" i="9"/>
  <c r="D44" i="9"/>
  <c r="D4" i="9"/>
  <c r="D51" i="9"/>
  <c r="D14" i="9"/>
  <c r="D34" i="9"/>
  <c r="D12" i="9"/>
  <c r="D28" i="9"/>
  <c r="D24" i="9"/>
  <c r="D43" i="9"/>
  <c r="D46" i="9"/>
  <c r="D18" i="9"/>
  <c r="D21" i="9"/>
  <c r="D27" i="9"/>
  <c r="D10" i="9"/>
  <c r="D26" i="9"/>
  <c r="D13" i="9"/>
  <c r="D11" i="9"/>
  <c r="D39" i="9"/>
  <c r="D9" i="9"/>
  <c r="D19" i="9"/>
  <c r="D48" i="9"/>
  <c r="D15" i="9"/>
  <c r="D32" i="9"/>
  <c r="D40" i="9"/>
  <c r="D16" i="9"/>
  <c r="D6" i="9"/>
  <c r="E20" i="9"/>
  <c r="E38" i="9"/>
  <c r="E46" i="9"/>
  <c r="E6" i="9"/>
  <c r="E10" i="9"/>
  <c r="E44" i="9"/>
  <c r="E17" i="9"/>
  <c r="E39" i="9"/>
  <c r="E34" i="9"/>
  <c r="E41" i="9"/>
  <c r="E43" i="9"/>
  <c r="E37" i="9"/>
  <c r="E12" i="9"/>
  <c r="E3" i="9"/>
  <c r="E13" i="9"/>
  <c r="E5" i="9"/>
  <c r="E32" i="9"/>
  <c r="E48" i="9"/>
  <c r="E14" i="9"/>
  <c r="E24" i="9"/>
  <c r="E23" i="9"/>
  <c r="E33" i="9"/>
  <c r="E36" i="9"/>
  <c r="E22" i="9"/>
  <c r="E26" i="9"/>
  <c r="E7" i="9"/>
  <c r="E21" i="9"/>
  <c r="E11" i="9"/>
  <c r="E31" i="9"/>
  <c r="E45" i="9"/>
  <c r="E47" i="9"/>
  <c r="E9" i="9"/>
  <c r="E8" i="9"/>
  <c r="E19" i="9"/>
  <c r="E16" i="9"/>
  <c r="E40" i="9"/>
  <c r="E51" i="9"/>
  <c r="E4" i="9"/>
  <c r="E30" i="9"/>
  <c r="E50" i="9"/>
  <c r="E42" i="9"/>
  <c r="E28" i="9"/>
  <c r="E25" i="9"/>
  <c r="E15" i="9"/>
  <c r="E27" i="9"/>
  <c r="E29" i="9"/>
  <c r="E18" i="9"/>
  <c r="E35" i="9"/>
  <c r="AM2" i="9" l="1"/>
  <c r="AL2" i="9"/>
  <c r="X18" i="9"/>
  <c r="AI18" i="9" s="1"/>
  <c r="AF31" i="9"/>
  <c r="AC31" i="9"/>
  <c r="AB31" i="9"/>
  <c r="AE31" i="9"/>
  <c r="AD31" i="9"/>
  <c r="X17" i="9"/>
  <c r="AI17" i="9" s="1"/>
  <c r="X15" i="9"/>
  <c r="X3" i="9"/>
  <c r="X2" i="9"/>
  <c r="AI2" i="9" s="1"/>
  <c r="X51" i="9"/>
  <c r="X49" i="9"/>
  <c r="X44" i="9"/>
  <c r="X46" i="9"/>
  <c r="X48" i="9"/>
  <c r="X39" i="9"/>
  <c r="X43" i="9"/>
  <c r="X47" i="9"/>
  <c r="X40" i="9"/>
  <c r="X37" i="9"/>
  <c r="X38" i="9"/>
  <c r="X33" i="9"/>
  <c r="X30" i="9"/>
  <c r="X31" i="9"/>
  <c r="X32" i="9"/>
  <c r="X35" i="9"/>
  <c r="X25" i="9"/>
  <c r="X29" i="9"/>
  <c r="X23" i="9"/>
  <c r="X24" i="9"/>
  <c r="X28" i="9"/>
  <c r="X22" i="9"/>
  <c r="X16" i="9"/>
  <c r="X20" i="9"/>
  <c r="X6" i="9"/>
  <c r="X8" i="9"/>
  <c r="X19" i="9"/>
  <c r="X21" i="9"/>
  <c r="X5" i="9"/>
  <c r="X7" i="9"/>
  <c r="X9" i="9"/>
  <c r="X10" i="9"/>
  <c r="X4" i="9"/>
  <c r="X13" i="9"/>
  <c r="X45" i="9"/>
  <c r="X12" i="9"/>
  <c r="X11" i="9"/>
  <c r="AI11" i="9" s="1"/>
  <c r="X42" i="9"/>
  <c r="X27" i="9"/>
  <c r="X14" i="9"/>
  <c r="X34" i="9"/>
  <c r="X36" i="9"/>
  <c r="X41" i="9"/>
  <c r="X26" i="9"/>
  <c r="X50" i="9"/>
  <c r="K14" i="9"/>
  <c r="AJ14" i="9" s="1"/>
  <c r="F12" i="9"/>
  <c r="F45" i="9"/>
  <c r="F38" i="9"/>
  <c r="F37" i="9"/>
  <c r="F28" i="9"/>
  <c r="F46" i="9"/>
  <c r="F7" i="9"/>
  <c r="F34" i="9"/>
  <c r="F32" i="9"/>
  <c r="F25" i="9"/>
  <c r="F31" i="9"/>
  <c r="F3" i="9"/>
  <c r="F50" i="9"/>
  <c r="AM34" i="9"/>
  <c r="AM19" i="9"/>
  <c r="F39" i="9"/>
  <c r="F5" i="9"/>
  <c r="F44" i="9"/>
  <c r="F41" i="9"/>
  <c r="F15" i="9"/>
  <c r="F30" i="9"/>
  <c r="F49" i="9"/>
  <c r="F19" i="9"/>
  <c r="F36" i="9"/>
  <c r="F35" i="9"/>
  <c r="F51" i="9"/>
  <c r="F26" i="9"/>
  <c r="AM44" i="9"/>
  <c r="AM42" i="9"/>
  <c r="AM4" i="9"/>
  <c r="AM15" i="9"/>
  <c r="F13" i="9"/>
  <c r="F23" i="9"/>
  <c r="F18" i="9"/>
  <c r="F17" i="9"/>
  <c r="F27" i="9"/>
  <c r="F24" i="9"/>
  <c r="F43" i="9"/>
  <c r="F16" i="9"/>
  <c r="F47" i="9"/>
  <c r="F40" i="9"/>
  <c r="F11" i="9"/>
  <c r="F10" i="9"/>
  <c r="F4" i="9"/>
  <c r="F2" i="9"/>
  <c r="F22" i="9"/>
  <c r="F20" i="9"/>
  <c r="F8" i="9"/>
  <c r="F48" i="9"/>
  <c r="F42" i="9"/>
  <c r="F6" i="9"/>
  <c r="F33" i="9"/>
  <c r="F21" i="9"/>
  <c r="F9" i="9"/>
  <c r="F14" i="9"/>
  <c r="F29" i="9"/>
  <c r="AL19" i="9"/>
  <c r="AL18" i="9"/>
  <c r="AL3" i="9"/>
  <c r="AL28" i="9"/>
  <c r="AM20" i="9"/>
  <c r="AL42" i="9"/>
  <c r="AL36" i="9"/>
  <c r="AL35" i="9"/>
  <c r="AL24" i="9"/>
  <c r="AL25" i="9"/>
  <c r="AL9" i="9"/>
  <c r="AM35" i="9"/>
  <c r="AM17" i="9"/>
  <c r="AM38" i="9"/>
  <c r="AM41" i="9"/>
  <c r="AM30" i="9"/>
  <c r="AM39" i="9"/>
  <c r="AM28" i="9"/>
  <c r="AM21" i="9"/>
  <c r="AL44" i="9"/>
  <c r="AL20" i="9"/>
  <c r="AL41" i="9"/>
  <c r="AL49" i="9"/>
  <c r="AL38" i="9"/>
  <c r="AL27" i="9"/>
  <c r="AM46" i="9"/>
  <c r="AM11" i="9"/>
  <c r="AM36" i="9"/>
  <c r="AM18" i="9"/>
  <c r="AM7" i="9"/>
  <c r="AM49" i="9"/>
  <c r="AM48" i="9"/>
  <c r="AM12" i="9"/>
  <c r="AM14" i="9"/>
  <c r="AM8" i="9"/>
  <c r="AM47" i="9"/>
  <c r="AM32" i="9"/>
  <c r="AM25" i="9"/>
  <c r="AM22" i="9"/>
  <c r="AM31" i="9"/>
  <c r="AM5" i="9"/>
  <c r="AM13" i="9"/>
  <c r="AM50" i="9"/>
  <c r="AM33" i="9"/>
  <c r="AM27" i="9"/>
  <c r="AM43" i="9"/>
  <c r="AM45" i="9"/>
  <c r="AM3" i="9"/>
  <c r="AM40" i="9"/>
  <c r="AM10" i="9"/>
  <c r="AM37" i="9"/>
  <c r="AM26" i="9"/>
  <c r="AM6" i="9"/>
  <c r="AM51" i="9"/>
  <c r="AM29" i="9"/>
  <c r="AM23" i="9"/>
  <c r="AM9" i="9"/>
  <c r="AM16" i="9"/>
  <c r="AM24" i="9"/>
  <c r="AL46" i="9"/>
  <c r="AL13" i="9"/>
  <c r="AL43" i="9"/>
  <c r="AL23" i="9"/>
  <c r="AL16" i="9"/>
  <c r="AL6" i="9"/>
  <c r="AL51" i="9"/>
  <c r="AL33" i="9"/>
  <c r="AL8" i="9"/>
  <c r="AL17" i="9"/>
  <c r="AL45" i="9"/>
  <c r="AL50" i="9"/>
  <c r="AL29" i="9"/>
  <c r="AL11" i="9"/>
  <c r="AL10" i="9"/>
  <c r="AL22" i="9"/>
  <c r="AL26" i="9"/>
  <c r="AL5" i="9"/>
  <c r="AL48" i="9"/>
  <c r="AL31" i="9"/>
  <c r="AL30" i="9"/>
  <c r="AL21" i="9"/>
  <c r="AL14" i="9"/>
  <c r="AL37" i="9"/>
  <c r="AL15" i="9"/>
  <c r="AL39" i="9"/>
  <c r="AL7" i="9"/>
  <c r="AL40" i="9"/>
  <c r="AL4" i="9"/>
  <c r="K9" i="9"/>
  <c r="AJ9" i="9" s="1"/>
  <c r="K2" i="9"/>
  <c r="AJ2" i="9" s="1"/>
  <c r="K39" i="9"/>
  <c r="AJ39" i="9" s="1"/>
  <c r="K16" i="9"/>
  <c r="AJ16" i="9" s="1"/>
  <c r="AK52" i="9"/>
  <c r="K41" i="9"/>
  <c r="AJ41" i="9" s="1"/>
  <c r="K32" i="9"/>
  <c r="AJ32" i="9" s="1"/>
  <c r="K49" i="9"/>
  <c r="AJ49" i="9" s="1"/>
  <c r="K35" i="9"/>
  <c r="AJ35" i="9" s="1"/>
  <c r="K45" i="9"/>
  <c r="AJ45" i="9" s="1"/>
  <c r="K7" i="9"/>
  <c r="AJ7" i="9" s="1"/>
  <c r="K6" i="9"/>
  <c r="AJ6" i="9" s="1"/>
  <c r="K13" i="9"/>
  <c r="AJ13" i="9" s="1"/>
  <c r="K17" i="9"/>
  <c r="AJ17" i="9" s="1"/>
  <c r="K46" i="9"/>
  <c r="AJ46" i="9" s="1"/>
  <c r="K20" i="9"/>
  <c r="AJ20" i="9" s="1"/>
  <c r="K47" i="9"/>
  <c r="AJ47" i="9" s="1"/>
  <c r="K37" i="9"/>
  <c r="AJ37" i="9" s="1"/>
  <c r="K21" i="9"/>
  <c r="AJ21" i="9" s="1"/>
  <c r="K44" i="9"/>
  <c r="AJ44" i="9" s="1"/>
  <c r="K15" i="9"/>
  <c r="AJ15" i="9" s="1"/>
  <c r="K29" i="9"/>
  <c r="AJ29" i="9" s="1"/>
  <c r="K34" i="9"/>
  <c r="AJ34" i="9" s="1"/>
  <c r="K23" i="9"/>
  <c r="AJ23" i="9" s="1"/>
  <c r="K28" i="9"/>
  <c r="AJ28" i="9" s="1"/>
  <c r="K12" i="9"/>
  <c r="AJ12" i="9" s="1"/>
  <c r="K42" i="9"/>
  <c r="AJ42" i="9" s="1"/>
  <c r="K48" i="9"/>
  <c r="AJ48" i="9" s="1"/>
  <c r="K50" i="9"/>
  <c r="AJ50" i="9" s="1"/>
  <c r="K26" i="9"/>
  <c r="AJ26" i="9" s="1"/>
  <c r="K8" i="9"/>
  <c r="AJ8" i="9" s="1"/>
  <c r="K31" i="9"/>
  <c r="AJ31" i="9" s="1"/>
  <c r="K38" i="9"/>
  <c r="AJ38" i="9" s="1"/>
  <c r="K22" i="9"/>
  <c r="AJ22" i="9" s="1"/>
  <c r="K10" i="9"/>
  <c r="AJ10" i="9" s="1"/>
  <c r="K51" i="9"/>
  <c r="AJ51" i="9" s="1"/>
  <c r="K30" i="9"/>
  <c r="AJ30" i="9" s="1"/>
  <c r="K19" i="9"/>
  <c r="AJ19" i="9" s="1"/>
  <c r="K43" i="9"/>
  <c r="AJ43" i="9" s="1"/>
  <c r="K33" i="9"/>
  <c r="AJ33" i="9" s="1"/>
  <c r="K11" i="9"/>
  <c r="AJ11" i="9" s="1"/>
  <c r="K27" i="9"/>
  <c r="AJ27" i="9" s="1"/>
  <c r="K25" i="9"/>
  <c r="AJ25" i="9" s="1"/>
  <c r="K4" i="9"/>
  <c r="AJ4" i="9" s="1"/>
  <c r="K40" i="9"/>
  <c r="AJ40" i="9" s="1"/>
  <c r="K24" i="9"/>
  <c r="AJ24" i="9" s="1"/>
  <c r="K5" i="9"/>
  <c r="AJ5" i="9" s="1"/>
  <c r="K36" i="9"/>
  <c r="AJ36" i="9" s="1"/>
  <c r="K18" i="9"/>
  <c r="AJ18" i="9" s="1"/>
  <c r="K3" i="9"/>
  <c r="AJ3" i="9" s="1"/>
  <c r="AN2" i="9" l="1"/>
  <c r="AI20" i="9"/>
  <c r="AN20" i="9" s="1"/>
  <c r="AI12" i="9"/>
  <c r="AN12" i="9" s="1"/>
  <c r="AI41" i="9"/>
  <c r="AN41" i="9" s="1"/>
  <c r="AI28" i="9"/>
  <c r="AN28" i="9" s="1"/>
  <c r="AI10" i="9"/>
  <c r="AN10" i="9" s="1"/>
  <c r="AI14" i="9"/>
  <c r="AN14" i="9" s="1"/>
  <c r="AI21" i="9"/>
  <c r="AN21" i="9" s="1"/>
  <c r="AI22" i="9"/>
  <c r="AN22" i="9" s="1"/>
  <c r="AI24" i="9"/>
  <c r="AN24" i="9" s="1"/>
  <c r="AI32" i="9"/>
  <c r="AN32" i="9" s="1"/>
  <c r="AI19" i="9"/>
  <c r="AI44" i="9"/>
  <c r="AN44" i="9" s="1"/>
  <c r="AI29" i="9"/>
  <c r="AN29" i="9" s="1"/>
  <c r="AI31" i="9"/>
  <c r="AI38" i="9"/>
  <c r="AN38" i="9" s="1"/>
  <c r="AI37" i="9"/>
  <c r="AN37" i="9" s="1"/>
  <c r="AI27" i="9"/>
  <c r="AN27" i="9" s="1"/>
  <c r="AI42" i="9"/>
  <c r="AN42" i="9" s="1"/>
  <c r="AI39" i="9"/>
  <c r="AN39" i="9" s="1"/>
  <c r="AI47" i="9"/>
  <c r="AN47" i="9" s="1"/>
  <c r="AI4" i="9"/>
  <c r="AI5" i="9"/>
  <c r="AN5" i="9" s="1"/>
  <c r="AI51" i="9"/>
  <c r="AN51" i="9" s="1"/>
  <c r="AI13" i="9"/>
  <c r="AN13" i="9" s="1"/>
  <c r="AI40" i="9"/>
  <c r="AI6" i="9"/>
  <c r="AN6" i="9" s="1"/>
  <c r="AI9" i="9"/>
  <c r="AN9" i="9" s="1"/>
  <c r="AI8" i="9"/>
  <c r="AN8" i="9" s="1"/>
  <c r="AI16" i="9"/>
  <c r="AN16" i="9" s="1"/>
  <c r="AI45" i="9"/>
  <c r="AN45" i="9" s="1"/>
  <c r="AI15" i="9"/>
  <c r="AN15" i="9" s="1"/>
  <c r="AI25" i="9"/>
  <c r="AN25" i="9" s="1"/>
  <c r="AI50" i="9"/>
  <c r="AN50" i="9" s="1"/>
  <c r="AI34" i="9"/>
  <c r="AN34" i="9" s="1"/>
  <c r="AI48" i="9"/>
  <c r="AN48" i="9" s="1"/>
  <c r="AI23" i="9"/>
  <c r="AN23" i="9" s="1"/>
  <c r="AI30" i="9"/>
  <c r="AN30" i="9" s="1"/>
  <c r="AI35" i="9"/>
  <c r="AN35" i="9" s="1"/>
  <c r="AI36" i="9"/>
  <c r="AN36" i="9" s="1"/>
  <c r="AI46" i="9"/>
  <c r="AN46" i="9" s="1"/>
  <c r="AI26" i="9"/>
  <c r="AN26" i="9" s="1"/>
  <c r="AI7" i="9"/>
  <c r="AN7" i="9" s="1"/>
  <c r="AI49" i="9"/>
  <c r="AN49" i="9" s="1"/>
  <c r="AI33" i="9"/>
  <c r="AN33" i="9" s="1"/>
  <c r="AI43" i="9"/>
  <c r="AN43" i="9" s="1"/>
  <c r="AI3" i="9"/>
  <c r="AN18" i="9"/>
  <c r="AN11" i="9"/>
  <c r="AN17" i="9"/>
  <c r="AM52" i="9"/>
  <c r="AL52" i="9"/>
  <c r="AJ52" i="9"/>
  <c r="AN3" i="9" l="1"/>
  <c r="AN4" i="9"/>
  <c r="AN40" i="9"/>
  <c r="AN19" i="9"/>
  <c r="AI52" i="9"/>
  <c r="AN31" i="9"/>
  <c r="AN52" i="9" l="1"/>
</calcChain>
</file>

<file path=xl/comments1.xml><?xml version="1.0" encoding="utf-8"?>
<comments xmlns="http://schemas.openxmlformats.org/spreadsheetml/2006/main">
  <authors>
    <author>Eileen Norcross</author>
    <author>Olivia Gonzalez</author>
  </authors>
  <commentList>
    <comment ref="D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Units are expressed in thousands for columns D through M, for the purpose of calculating ratios; per capita figures are expressed literally (columns, N through S, for ease of interpretation of per capita dollar amounts.</t>
        </r>
      </text>
    </comment>
    <comment ref="N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Expressed in literal units for per capita calculations</t>
        </r>
      </text>
    </comment>
    <comment ref="V1" authorId="1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Not included in rankings</t>
        </r>
      </text>
    </comment>
  </commentList>
</comments>
</file>

<file path=xl/comments2.xml><?xml version="1.0" encoding="utf-8"?>
<comments xmlns="http://schemas.openxmlformats.org/spreadsheetml/2006/main">
  <authors>
    <author>Olivia Gonzalez</author>
    <author>User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Standardized non-inverses (up to 6)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inverses (up to 11)</t>
        </r>
      </text>
    </comment>
    <comment ref="Q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non-inverses up to 11</t>
        </r>
      </text>
    </comment>
    <comment ref="AI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Sum of Standardized values of the capped cash, quick and current ratios.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standardized values of the net asset ratio(6), and inverses of long-term liability ratio (7), and long-term liability per capita ratio (8).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User:
Sum of standardized values of: change in net assets per capita aka surplus (5), and operating ratio (4)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inverse (blue heather) standardized values of tax per capita (9), revenue per capita (10), expenses per capita (11)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weights must equal 1.</t>
        </r>
      </text>
    </comment>
  </commentList>
</comments>
</file>

<file path=xl/sharedStrings.xml><?xml version="1.0" encoding="utf-8"?>
<sst xmlns="http://schemas.openxmlformats.org/spreadsheetml/2006/main" count="956" uniqueCount="294">
  <si>
    <t>Link to CAFR</t>
  </si>
  <si>
    <t>State</t>
    <phoneticPr fontId="1" type="noConversion"/>
  </si>
  <si>
    <t xml:space="preserve">Year </t>
    <phoneticPr fontId="1" type="noConversion"/>
  </si>
  <si>
    <t>C_CE_I</t>
  </si>
  <si>
    <t>C_CE_I_R</t>
    <phoneticPr fontId="1" type="noConversion"/>
  </si>
  <si>
    <t>Total Current Assets</t>
  </si>
  <si>
    <t>Current Liabilities</t>
    <phoneticPr fontId="1" type="noConversion"/>
  </si>
  <si>
    <t>Noncurrent Liabilities</t>
    <phoneticPr fontId="1" type="noConversion"/>
  </si>
  <si>
    <t>Unrestricted Net Assets</t>
    <phoneticPr fontId="1" type="noConversion"/>
  </si>
  <si>
    <t>Restricted Net Assets</t>
    <phoneticPr fontId="1" type="noConversion"/>
  </si>
  <si>
    <t>Total Net Assets</t>
    <phoneticPr fontId="1" type="noConversion"/>
  </si>
  <si>
    <t>Total Assets</t>
    <phoneticPr fontId="1" type="noConversion"/>
  </si>
  <si>
    <t>Total Liabilities</t>
    <phoneticPr fontId="1" type="noConversion"/>
  </si>
  <si>
    <t>Total Taxes</t>
    <phoneticPr fontId="1" type="noConversion"/>
  </si>
  <si>
    <t xml:space="preserve">Total Revenue </t>
    <phoneticPr fontId="1" type="noConversion"/>
  </si>
  <si>
    <t>Total Expenses</t>
    <phoneticPr fontId="1" type="noConversion"/>
  </si>
  <si>
    <t>NonCurrent Liability</t>
    <phoneticPr fontId="1" type="noConversion"/>
  </si>
  <si>
    <t>Change in Net Assets</t>
    <phoneticPr fontId="1" type="noConversion"/>
  </si>
  <si>
    <t>Population</t>
    <phoneticPr fontId="1" type="noConversion"/>
  </si>
  <si>
    <t>1.Cash_ratio</t>
    <phoneticPr fontId="1" type="noConversion"/>
  </si>
  <si>
    <t>2.quick_ratio</t>
    <phoneticPr fontId="1" type="noConversion"/>
  </si>
  <si>
    <t>3.current_ratio</t>
    <phoneticPr fontId="1" type="noConversion"/>
  </si>
  <si>
    <t>4.op_ratio</t>
    <phoneticPr fontId="1" type="noConversion"/>
  </si>
  <si>
    <t>5. surplus_percap</t>
    <phoneticPr fontId="1" type="noConversion"/>
  </si>
  <si>
    <t>6.net_asst_rat</t>
    <phoneticPr fontId="1" type="noConversion"/>
  </si>
  <si>
    <t>7.long_term_liab</t>
    <phoneticPr fontId="1" type="noConversion"/>
  </si>
  <si>
    <t>8.lt_percapita</t>
    <phoneticPr fontId="1" type="noConversion"/>
  </si>
  <si>
    <t>7.long_term_liab (inv)</t>
  </si>
  <si>
    <t>8.lt_percapita (inv)</t>
  </si>
  <si>
    <t>http://comptroller.alabama.gov/pdfs/CAFR/cafr.2013.ala.pdf</t>
  </si>
  <si>
    <t>Alabama</t>
    <phoneticPr fontId="1" type="noConversion"/>
  </si>
  <si>
    <t>N</t>
  </si>
  <si>
    <t>Mean</t>
  </si>
  <si>
    <t>Median</t>
  </si>
  <si>
    <t>S.D.</t>
  </si>
  <si>
    <t>Max</t>
  </si>
  <si>
    <t>Min</t>
  </si>
  <si>
    <t>http://doa.alaska.gov/dof/reports/resource/fy13/2013cafr.pdf</t>
  </si>
  <si>
    <t>Alaska</t>
    <phoneticPr fontId="1" type="noConversion"/>
  </si>
  <si>
    <t>1. Cash Ratio</t>
  </si>
  <si>
    <t>http://www.azauditor.gov/Reports/State_Agencies/StateWideReports/Financial/CAFR/FA_6_30_13/State_Of_Arizona_June30,2013_CAFR.pdf</t>
  </si>
  <si>
    <t>Arizona</t>
    <phoneticPr fontId="1" type="noConversion"/>
  </si>
  <si>
    <t>2. Quick Ratio</t>
  </si>
  <si>
    <t>http://www.dfa.arkansas.gov/offices/accounting/Documents/cafr2013.pdf</t>
  </si>
  <si>
    <t>Arkansas</t>
    <phoneticPr fontId="1" type="noConversion"/>
  </si>
  <si>
    <t>3. Current Ratio</t>
  </si>
  <si>
    <t>http://www.sco.ca.gov/Files-ARD/CAFR/cafr13web.pdf</t>
  </si>
  <si>
    <t>California</t>
    <phoneticPr fontId="1" type="noConversion"/>
  </si>
  <si>
    <t>https://www.colorado.gov/pacific/sites/default/files/CAFR13Fin.pdf</t>
  </si>
  <si>
    <t>Colorado</t>
    <phoneticPr fontId="1" type="noConversion"/>
  </si>
  <si>
    <t>5. Surplus (deficit) per capita</t>
  </si>
  <si>
    <t>http://www.osc.ct.gov/2013cafr/CAFR13.pdf</t>
  </si>
  <si>
    <t>Connecticut</t>
    <phoneticPr fontId="1" type="noConversion"/>
  </si>
  <si>
    <t>6. Net asset ratio</t>
  </si>
  <si>
    <t>http://accounting.delaware.gov/2013cafr.pdf</t>
  </si>
  <si>
    <t>Delaware</t>
    <phoneticPr fontId="1" type="noConversion"/>
  </si>
  <si>
    <t>7. Long-term liability ratio</t>
  </si>
  <si>
    <t>http://www.myfloridacfo.com/Division/AA/Reports/2013CAFR.pdf</t>
  </si>
  <si>
    <t xml:space="preserve">Florida </t>
    <phoneticPr fontId="1" type="noConversion"/>
  </si>
  <si>
    <t>8. Long-term liability per capita</t>
  </si>
  <si>
    <t>http://sao.georgia.gov/sites/sao.georgia.gov/files/related_files/site_page/2013%20CAFR%20Final.pdf</t>
  </si>
  <si>
    <t>Georgia</t>
    <phoneticPr fontId="1" type="noConversion"/>
  </si>
  <si>
    <t>http://ags.hawaii.gov/wp-content/uploads/2012/09/soh-cafr-20130630.pdf</t>
  </si>
  <si>
    <t>Hawaii</t>
    <phoneticPr fontId="1" type="noConversion"/>
  </si>
  <si>
    <t>http://www.sco.idaho.gov/web/DSADoc.nsf/445AA4D1B1EFDC0687257C4B006A6703/$FILE/SCO-2013_Idaho_CAFR.pdf</t>
  </si>
  <si>
    <t>Idaho</t>
  </si>
  <si>
    <t>http://www.ioc.state.il.us/index.cfm/resources/reports/cafr/fy-2013/</t>
  </si>
  <si>
    <t>Illinois</t>
  </si>
  <si>
    <t>7. Long-term liability ratio (inv)</t>
  </si>
  <si>
    <t>http://www.in.gov/auditor/files/Entire_2013_CAFR.pdf</t>
  </si>
  <si>
    <t>Indiana</t>
  </si>
  <si>
    <t>8. Long-term liability per capita (inv)</t>
  </si>
  <si>
    <t>http://das.sae.iowa.gov/financial_reports/</t>
  </si>
  <si>
    <t>Iowa</t>
  </si>
  <si>
    <t>http://admin.ks.gov/docs/default-source/cfo/fiscal-year-2013---comprehensive-annual-financial-report.pdf?sfvrsn=4</t>
  </si>
  <si>
    <t>Kansas</t>
  </si>
  <si>
    <t>http://finance.ky.gov/services/statewideacct/Documents/CAFR/2013%20CAFR%20FOR%20WEB.pdf</t>
  </si>
  <si>
    <t>Kentucky</t>
  </si>
  <si>
    <t>http://www.doa.louisiana.gov/osrap/library/Publications/cafr2013.pdf</t>
  </si>
  <si>
    <t>Louisiana</t>
  </si>
  <si>
    <t>http://www.maine.gov/osc/pdf/finanrept/cafr/cafr2013.pdf</t>
  </si>
  <si>
    <t>Maine</t>
  </si>
  <si>
    <t>http://finances.marylandtaxes.com/static_files/revenue/cafr/cafr2013.pdf</t>
  </si>
  <si>
    <t>Maryland</t>
  </si>
  <si>
    <t>http://www.mass.gov/legis/journal/desktop/2013/cafr.pdf</t>
  </si>
  <si>
    <t>Massachusetts</t>
  </si>
  <si>
    <t>http://www.michigan.gov/documents/budget/CAFR_FY_2013_444277_7.pdf</t>
  </si>
  <si>
    <t>Michigan</t>
  </si>
  <si>
    <t>http://www.mnpera.org/vertical/Sites/%7BCB6D4845-437C-4F52-969E-51305385F40B%7D/uploads/CAFR_2013_Final-2.pdf</t>
  </si>
  <si>
    <t>Minnesota</t>
  </si>
  <si>
    <t>http://www.dfa.state.ms.us/Offices/OFR/BFR%20Files/CAFR%20Files/2013%20CAFR.pdf</t>
  </si>
  <si>
    <t>Mississippi</t>
  </si>
  <si>
    <t>http://www.auditor.mo.gov/contact_oa_cafr.htm</t>
  </si>
  <si>
    <t>Missouri</t>
  </si>
  <si>
    <t>http://accounting.mt.gov/content/cafr/FY13CAFR</t>
  </si>
  <si>
    <t>Montana</t>
  </si>
  <si>
    <t>http://das.nebraska.gov/accounting/cafr/cafr2013.pdf</t>
  </si>
  <si>
    <t>Nebraska</t>
  </si>
  <si>
    <t>http://controller.nv.gov/FinancialReports/CAFR_Download_Page.html</t>
  </si>
  <si>
    <t>Nevada</t>
  </si>
  <si>
    <t>http://www.nh.gov/treasury/Divisions/DocsForms/CAFR_09-30-2013.pdf</t>
  </si>
  <si>
    <t>New Hampshire</t>
  </si>
  <si>
    <t>http://www.nj.gov/treasury/omb/publications/13cafr/pdf/fullcafr2013.pdf</t>
  </si>
  <si>
    <t>New Jersey</t>
  </si>
  <si>
    <t>adjusted for inflation</t>
  </si>
  <si>
    <t>New Mexico</t>
  </si>
  <si>
    <t>http://www.osc.state.ny.us/finance/finreports/2013cafr.pdf</t>
  </si>
  <si>
    <t>New York</t>
  </si>
  <si>
    <t>http://www.ncosc.net/financial/13cafr/2013_Comprehensive_Annual_Financial_Report_bookmarks.pdf</t>
  </si>
  <si>
    <t>North Carolina</t>
  </si>
  <si>
    <t>http://www.nd.gov/fiscal/docs/cafr2013/2013cafr.pdf</t>
  </si>
  <si>
    <t>North Dakota</t>
  </si>
  <si>
    <t>http://obm.ohio.gov/stateaccounting/financialreporting/doc/cafr/2013/cafr_2013.pdf</t>
  </si>
  <si>
    <t>Ohio</t>
  </si>
  <si>
    <t>http://www.ok.gov/OSF/documents/cafr13.pdf</t>
  </si>
  <si>
    <t>Oklahoma</t>
  </si>
  <si>
    <t>http://sos.oregon.gov/audits/Documents/2014-04.pdf</t>
  </si>
  <si>
    <t>Oregon</t>
  </si>
  <si>
    <t>http://www.budget.state.pa.us/portal/server.pt/community/financial_reports/4574</t>
  </si>
  <si>
    <t>Pennsylvania</t>
  </si>
  <si>
    <t>http://controller.admin.ri.gov/documents/Financial%20Reports//115_Comprehensive%20Annual%20Financial%20Report_06-30-2013.pdf</t>
  </si>
  <si>
    <t>Rhode Island</t>
  </si>
  <si>
    <t>http://www.cg.sc.gov/publicationsandreports/Pages/CAFRFY20122013.aspx</t>
  </si>
  <si>
    <t>South Carolina</t>
  </si>
  <si>
    <t>http://bfm.sd.gov/cafr/SD_CAFR_2013.PDF</t>
  </si>
  <si>
    <t>South Dakota</t>
  </si>
  <si>
    <t>http://www.tn.gov/finance/act/cafr_fy2013/cafr_fy13.pdf</t>
  </si>
  <si>
    <t>Tennessee</t>
  </si>
  <si>
    <t>http://www.texastransparency.org/State_Finance/Budget_Finance/Reports/Comprehensive_Annual_Financial/13/pdf/CAFR-2013.pdf</t>
  </si>
  <si>
    <t>Texas</t>
  </si>
  <si>
    <t>http://finance.utah.gov/reporting/documents/13UTCAFR.pdf</t>
  </si>
  <si>
    <t>Utah</t>
  </si>
  <si>
    <t>http://finance.vermont.gov/sites/finance/files/pdf/cafr/2013_CAFR_Final.pdf</t>
  </si>
  <si>
    <t>Vermont</t>
  </si>
  <si>
    <t>http://www.doa.virginia.gov/Financial_Reporting/CAFR/2013/2013CAFR.pdf</t>
  </si>
  <si>
    <t>Virginia</t>
  </si>
  <si>
    <t>http://www.ofm.wa.gov/cafr/2013/CAFR13.pdf</t>
  </si>
  <si>
    <t>Washington</t>
  </si>
  <si>
    <t>http://www.wvfinance.state.wv.us/cafr13.htm</t>
  </si>
  <si>
    <t>West Virginia</t>
  </si>
  <si>
    <t>ftp://doaftp1380.wi.gov/doadocs/2013%20CAFR_Linked.pdf</t>
  </si>
  <si>
    <t>Wisconsin</t>
  </si>
  <si>
    <t>http://sao.state.wy.us/cafr/cafr_report.htm</t>
  </si>
  <si>
    <t>Wyoming</t>
  </si>
  <si>
    <t>7.long_term_liab</t>
  </si>
  <si>
    <t>State</t>
  </si>
  <si>
    <t>Cash Index</t>
  </si>
  <si>
    <t>LR SolvencyIndex</t>
  </si>
  <si>
    <t>Budgt Solv.</t>
  </si>
  <si>
    <t>Ser. Lvl. Solv.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</si>
  <si>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</si>
  <si>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</si>
  <si>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</si>
  <si>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</si>
  <si>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</si>
  <si>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</si>
  <si>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</si>
  <si>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</si>
  <si>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 xml:space="preserve">Florida </t>
  </si>
  <si>
    <t>Georgia</t>
  </si>
  <si>
    <t>Hawaii</t>
  </si>
  <si>
    <t>Rank</t>
  </si>
  <si>
    <t>Cash Solvency</t>
  </si>
  <si>
    <t>Trust Fund Solv.</t>
  </si>
  <si>
    <t>Trust Fund Solvency</t>
  </si>
  <si>
    <t>UAAL OPEB</t>
  </si>
  <si>
    <t>Primary gov debt</t>
  </si>
  <si>
    <t>Personal income</t>
  </si>
  <si>
    <t>UAAL pension (risk-free)</t>
  </si>
  <si>
    <t>Budgetary Solvency</t>
  </si>
  <si>
    <t xml:space="preserve">Rank </t>
  </si>
  <si>
    <t>Long-Run Solvency</t>
  </si>
  <si>
    <t>Service Level Solvency</t>
  </si>
  <si>
    <t>9.tax_income_ratio</t>
  </si>
  <si>
    <t>10.rev_income_ratio</t>
  </si>
  <si>
    <t>11.exp_income_ratio</t>
  </si>
  <si>
    <t>9.tax_income_ratio (inv)</t>
  </si>
  <si>
    <t>10.rev_income_ratio (inv)</t>
  </si>
  <si>
    <t>11.exp_income_ratio (inv)</t>
  </si>
  <si>
    <t>9. Tax income ratio (inv)</t>
  </si>
  <si>
    <t>10. Revenue income ratio (inv)</t>
  </si>
  <si>
    <t>11. Expenses income ratio (inv)</t>
  </si>
  <si>
    <t>9. Tax income ratio</t>
  </si>
  <si>
    <t>10. Revenue income ratio</t>
  </si>
  <si>
    <t>11. Expenses income ratio</t>
  </si>
  <si>
    <t>9.tax_ratio_income</t>
  </si>
  <si>
    <t>4. Operating ratio</t>
  </si>
  <si>
    <t>Average</t>
  </si>
  <si>
    <t>Descriptive statistics</t>
  </si>
  <si>
    <t>Sum of weights</t>
  </si>
  <si>
    <t>Assigned Weights</t>
  </si>
  <si>
    <t>Weighted subcomponents</t>
  </si>
  <si>
    <t>Unweighted subcomponents</t>
  </si>
  <si>
    <t>Overall solvency</t>
  </si>
  <si>
    <t>LR solvency</t>
  </si>
  <si>
    <t>Alabama</t>
    <phoneticPr fontId="2" type="noConversion"/>
  </si>
  <si>
    <t>Alaska</t>
    <phoneticPr fontId="2" type="noConversion"/>
  </si>
  <si>
    <t>Arizona</t>
    <phoneticPr fontId="2" type="noConversion"/>
  </si>
  <si>
    <t>Arkansas</t>
    <phoneticPr fontId="2" type="noConversion"/>
  </si>
  <si>
    <t>California</t>
    <phoneticPr fontId="2" type="noConversion"/>
  </si>
  <si>
    <t>Colorado</t>
    <phoneticPr fontId="2" type="noConversion"/>
  </si>
  <si>
    <t>Connecticut</t>
    <phoneticPr fontId="2" type="noConversion"/>
  </si>
  <si>
    <t>Delaware</t>
    <phoneticPr fontId="2" type="noConversion"/>
  </si>
  <si>
    <t xml:space="preserve">Florida </t>
    <phoneticPr fontId="2" type="noConversion"/>
  </si>
  <si>
    <t>Georgia</t>
    <phoneticPr fontId="2" type="noConversion"/>
  </si>
  <si>
    <t>Hawaii</t>
    <phoneticPr fontId="2" type="noConversion"/>
  </si>
  <si>
    <t>12. pension_income ratio (inv)</t>
  </si>
  <si>
    <t>13. OPEB_income (inv)</t>
  </si>
  <si>
    <t>12. pension_income(inv)</t>
  </si>
  <si>
    <t>2 std dev</t>
  </si>
  <si>
    <t>12. Pension income ratio</t>
  </si>
  <si>
    <t>12. pension income ratio (inv)</t>
  </si>
  <si>
    <t>13. OPEB income ratio</t>
  </si>
  <si>
    <t>13. OPEB income ratio (inv)</t>
  </si>
  <si>
    <t>1.Cash_ratio</t>
  </si>
  <si>
    <t>2.quick_ratio</t>
  </si>
  <si>
    <t>3.current_ratio</t>
  </si>
  <si>
    <t>Q2 (median)</t>
  </si>
  <si>
    <t>Q1</t>
  </si>
  <si>
    <t>Q3</t>
  </si>
  <si>
    <t>IQR</t>
  </si>
  <si>
    <t>lower boundary</t>
  </si>
  <si>
    <t>upper boundary</t>
  </si>
  <si>
    <t>inner fence</t>
  </si>
  <si>
    <t>outer fence</t>
  </si>
  <si>
    <t>minor outlier</t>
  </si>
  <si>
    <t>major outlier</t>
  </si>
  <si>
    <t>Averages w/ each outlier</t>
  </si>
  <si>
    <t>Std dev</t>
  </si>
  <si>
    <t xml:space="preserve">Overall fiscal condition index </t>
  </si>
  <si>
    <t>1.Cash_ratio (cap)</t>
  </si>
  <si>
    <t>2.quick_ratio (cap)</t>
  </si>
  <si>
    <t>3.current_ratio (cap)</t>
  </si>
  <si>
    <t>14. Cash ratio (capped)</t>
  </si>
  <si>
    <t>16. Current ratio (capped)</t>
  </si>
  <si>
    <t>15. Quick ratio (capped)</t>
  </si>
  <si>
    <t>1. cash_ratio (cap)</t>
  </si>
  <si>
    <t>2. quick_ratio (cap)</t>
  </si>
  <si>
    <t>3. current_ratio (cap)</t>
  </si>
  <si>
    <t>6.net_asst_ratio</t>
  </si>
  <si>
    <t>12. pension_income_ratio</t>
  </si>
  <si>
    <t>13. OPEB_income_ratio</t>
  </si>
  <si>
    <t>4.op_ratio</t>
  </si>
  <si>
    <t>2015 (unaudited)</t>
  </si>
  <si>
    <t>http://doa.alaska.gov/dof/reports/resource/fy15/2015cafr.pdf</t>
  </si>
  <si>
    <t>https://gao.az.gov/sites/default/files/FY%202015%20CAFR%20FINAL%20NO%20AG%20SIG%206-9-16.pdf</t>
  </si>
  <si>
    <t>http://www.dfa.arkansas.gov/offices/accounting/Documents/cafr2015.pdf</t>
  </si>
  <si>
    <t>http://www.sco.ca.gov/Files-ARD-Local/LocRep/cafr15web.pdf</t>
  </si>
  <si>
    <t>https://www.colorado.gov/pacific/sites/default/files/CAFR15_2.pdf</t>
  </si>
  <si>
    <t>http://www.osc.ct.gov/2015cafr/cafr2015.pdf</t>
  </si>
  <si>
    <t>http://accounting.delaware.gov/2015cafr.pdf</t>
  </si>
  <si>
    <t>http://www.myfloridacfo.com/Division/AA/Reports/2015CAFR.pdf</t>
  </si>
  <si>
    <t>https://sao.georgia.gov/sites/sao.georgia.gov/files/related_files/site_page/FY15%20CAFR%20Manuscript%20FINAL.pdf</t>
  </si>
  <si>
    <t>http://ags.hawaii.gov/wp-content/uploads/2012/09/CAFR-FY2015.pdf</t>
  </si>
  <si>
    <t>http://www.sco.idaho.gov/web/DSADoc.nsf/D680E80927E4B95787257F2C007954AE/$FILE/SCO-2015-CAFR.pdf</t>
  </si>
  <si>
    <t>http://illinoiscomptroller.gov/ioc-pdf/CAFR_2015.pdf</t>
  </si>
  <si>
    <t>http://www.in.gov/auditor/files/Entire%202015%20CAFR.pdf</t>
  </si>
  <si>
    <t>https://das.iowa.gov/sites/default/files/acct_sae/cafr/fy15_cafr.pdf</t>
  </si>
  <si>
    <t>http://admin.ks.gov/docs/default-source/cfo/cafr/2015-cafr.pdf?sfvrsn=8</t>
  </si>
  <si>
    <t>http://finance.ky.gov/Office%20of%20the%20Controller/2015CAFR.pdf</t>
  </si>
  <si>
    <t>http://www.maine.gov/osc/pdf/finanrept/cafr/cafr2015.pdf</t>
  </si>
  <si>
    <t>http://finances.marylandtaxes.com/static_files/revenue/cafr/cafr2015.pdf</t>
  </si>
  <si>
    <t>http://www.mass.gov/comptroller/docs/reports-audits/cafr/fy2015-cafr.pdf</t>
  </si>
  <si>
    <t>http://www.michigan.gov/documents/budget/CAFR_FY_2015_510625_7.pdf</t>
  </si>
  <si>
    <t>https://mn.gov/mmb/assets/2015-CAFR_tcm1059-125253.pdf</t>
  </si>
  <si>
    <t>https://oa.mo.gov/sites/default/files/CAFR_2015.pdf</t>
  </si>
  <si>
    <t>http://sfsd.mt.gov/Portals/24/Final%20CAFR%20Draft%20LAD%20-%20website%20version_1.pdf</t>
  </si>
  <si>
    <t>http://das.nebraska.gov/accounting/cafr/cafr2015.pdf</t>
  </si>
  <si>
    <t>http://controller.nv.gov/FinancialReports/CAFR_pdf_files/FY15All.pdf</t>
  </si>
  <si>
    <t>https://das.nh.gov/accounting/FY%2015/CAFR%20FY15.pdf</t>
  </si>
  <si>
    <t>http://www.state.nj.us/treasury/omb/publications/15cafr/pdf/fullcafr2015.pdf</t>
  </si>
  <si>
    <t>http://www.nmdfa.state.nm.us/uploads/files/Financial%20Control/CAFR/FInal%20Version%20State%20of%20NM%20CAFR%20FY15%20(Reduced).pdf</t>
  </si>
  <si>
    <t>http://www.osc.state.ny.us/finance/finreports/cafr/2015cafr.pdf</t>
  </si>
  <si>
    <t>https://www.nd.gov/omb/sites/omb/files/documents/agency/financial/cafr/2015-cafr-toc.pdf</t>
  </si>
  <si>
    <t>http://obm.ohio.gov/stateaccounting/financialreporting/doc/cafr/2015/cafr_2015.pdf</t>
  </si>
  <si>
    <t>https://www.ok.gov/OSF/documents/cafr15.pdf</t>
  </si>
  <si>
    <t>http://www.oregon.gov/das/Financial/Acctng/Documents/2015_CAFR.pdf</t>
  </si>
  <si>
    <t>http://controller.admin.ri.gov/documents/Financial%20Reports//117_Comprehensive%20Annual%20Financial%20Report_06-30-2015.pdf</t>
  </si>
  <si>
    <t>http://www.cg.sc.gov/publicationsandreports/Documents/Comprehensive%20Annaul%20Financial%20Report/CompleteCAFRFY2015-Accessibile_04-15-2016.pdf</t>
  </si>
  <si>
    <t>https://bfm.sd.gov/cafr/SD_CAFR_2015.PDF#view=fit</t>
  </si>
  <si>
    <t>http://www.tennessee.gov/assets/entities/finance/accounts/attachments/cafr_fy15.pdf</t>
  </si>
  <si>
    <t>https://comptroller.texas.gov/transparency/reports/comprehensive-annual-financial/2015/</t>
  </si>
  <si>
    <t>https://site.utah.gov/treasurer/wp-content/uploads/sites/10/2015/11/15UTCAFR.pdf</t>
  </si>
  <si>
    <t>http://www.doa.virginia.gov/reports/CAFR/2015/2015CAFR.pdf</t>
  </si>
  <si>
    <t>http://www.ofm.wa.gov/cafr/2015/CAFR15.pdf</t>
  </si>
  <si>
    <t>http://www.finance.wv.gov/FARS/CAFR/Documents/CAFR2015.pdf</t>
  </si>
  <si>
    <t>http://doa.wisconsin.gov/Documents/DEBF/Financial%20Reporting/CAFR/2015_CAFR_Linked.pdf</t>
  </si>
  <si>
    <t>https://drive.google.com/file/d/0B-jVEVbglokDdS1UM2NUUXRPYVk/view</t>
  </si>
  <si>
    <t>https://emma.msrb.org/ER948184-ER741771-ER1143446.pdf</t>
  </si>
  <si>
    <t>http://www.doa.la.gov/osrap/library/Publications/FINAL%20CAFR%20-%2012-22-15%20with%20covers.pdf</t>
  </si>
  <si>
    <t>http://www.dfa.ms.gov/media/3809/2015_cafr.pdf</t>
  </si>
  <si>
    <t>http://qa.osc.nc.gov/financial/15_cafr/2015_Comprehensive_Annual_Financial_Report.pdf</t>
  </si>
  <si>
    <t>http://www.budget.pa.gov/PublicationsAndReports/AnnualFinancialReport/Documents/2015/june-30-2015-cafr.pdf</t>
  </si>
  <si>
    <t>http://finance.vermont.gov/sites/finance/files/documents/Rpts_Pubs/CAFR/FIN-2015_CAFR_FINAL.pdf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</si>
</sst>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0.0000"/>
    <numFmt numFmtId="168" formatCode="0.000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MS sans serif"/>
      <family val="2"/>
    </font>
    <font>
      <sz val="12"/>
      <color rgb="FF333333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3" borderId="0" xfId="0" applyNumberFormat="1" applyFill="1"/>
    <xf numFmtId="1" fontId="0" fillId="3" borderId="0" xfId="0" applyNumberFormat="1" applyFill="1" applyBorder="1"/>
    <xf numFmtId="0" fontId="0" fillId="0" borderId="0" xfId="0" applyBorder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Fill="1" applyBorder="1"/>
    <xf numFmtId="0" fontId="0" fillId="3" borderId="0" xfId="0" applyFill="1"/>
    <xf numFmtId="0" fontId="0" fillId="6" borderId="0" xfId="0" applyFill="1"/>
    <xf numFmtId="164" fontId="0" fillId="0" borderId="0" xfId="1" applyNumberFormat="1" applyFont="1" applyFill="1"/>
    <xf numFmtId="164" fontId="2" fillId="0" borderId="0" xfId="1" applyNumberFormat="1" applyFont="1" applyFill="1"/>
    <xf numFmtId="37" fontId="0" fillId="0" borderId="0" xfId="1" applyNumberFormat="1" applyFont="1" applyFill="1"/>
    <xf numFmtId="37" fontId="2" fillId="0" borderId="0" xfId="1" applyNumberFormat="1" applyFont="1" applyFill="1"/>
    <xf numFmtId="2" fontId="0" fillId="0" borderId="0" xfId="0" applyNumberFormat="1" applyBorder="1"/>
    <xf numFmtId="2" fontId="0" fillId="0" borderId="0" xfId="0" applyNumberFormat="1"/>
    <xf numFmtId="0" fontId="0" fillId="0" borderId="0" xfId="0" applyAlignment="1"/>
    <xf numFmtId="43" fontId="0" fillId="0" borderId="0" xfId="1" applyFont="1"/>
    <xf numFmtId="0" fontId="0" fillId="0" borderId="1" xfId="0" applyFill="1" applyBorder="1"/>
    <xf numFmtId="43" fontId="0" fillId="0" borderId="1" xfId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43" fontId="0" fillId="0" borderId="1" xfId="1" applyFont="1" applyBorder="1"/>
    <xf numFmtId="1" fontId="0" fillId="0" borderId="0" xfId="0" applyNumberFormat="1"/>
    <xf numFmtId="1" fontId="0" fillId="0" borderId="0" xfId="0" applyNumberFormat="1" applyFill="1"/>
    <xf numFmtId="0" fontId="0" fillId="7" borderId="0" xfId="0" applyFill="1"/>
    <xf numFmtId="0" fontId="0" fillId="7" borderId="0" xfId="0" applyFill="1" applyAlignment="1"/>
    <xf numFmtId="0" fontId="2" fillId="7" borderId="0" xfId="0" applyFont="1" applyFill="1" applyAlignment="1"/>
    <xf numFmtId="0" fontId="2" fillId="0" borderId="0" xfId="0" applyFont="1" applyFill="1"/>
    <xf numFmtId="2" fontId="0" fillId="0" borderId="0" xfId="0" applyNumberFormat="1" applyFill="1"/>
    <xf numFmtId="165" fontId="0" fillId="0" borderId="0" xfId="0" applyNumberFormat="1"/>
    <xf numFmtId="0" fontId="0" fillId="8" borderId="0" xfId="0" applyFill="1"/>
    <xf numFmtId="2" fontId="7" fillId="0" borderId="0" xfId="0" applyNumberFormat="1" applyFont="1"/>
    <xf numFmtId="0" fontId="0" fillId="0" borderId="0" xfId="0" applyAlignment="1">
      <alignment wrapText="1"/>
    </xf>
    <xf numFmtId="166" fontId="0" fillId="0" borderId="0" xfId="0" applyNumberFormat="1" applyBorder="1"/>
    <xf numFmtId="166" fontId="0" fillId="0" borderId="0" xfId="0" applyNumberFormat="1" applyFill="1" applyBorder="1"/>
    <xf numFmtId="1" fontId="0" fillId="3" borderId="0" xfId="0" applyNumberFormat="1" applyFill="1" applyBorder="1" applyAlignment="1">
      <alignment wrapText="1"/>
    </xf>
    <xf numFmtId="0" fontId="0" fillId="0" borderId="0" xfId="0" applyFont="1" applyFill="1"/>
    <xf numFmtId="0" fontId="0" fillId="9" borderId="0" xfId="0" applyFill="1" applyAlignment="1"/>
    <xf numFmtId="0" fontId="0" fillId="10" borderId="0" xfId="0" applyFill="1" applyAlignment="1">
      <alignment wrapText="1"/>
    </xf>
    <xf numFmtId="0" fontId="10" fillId="11" borderId="0" xfId="0" applyFont="1" applyFill="1"/>
    <xf numFmtId="0" fontId="10" fillId="0" borderId="0" xfId="0" applyFont="1"/>
    <xf numFmtId="0" fontId="10" fillId="11" borderId="0" xfId="0" applyFont="1" applyFill="1" applyAlignment="1">
      <alignment wrapText="1"/>
    </xf>
    <xf numFmtId="2" fontId="10" fillId="11" borderId="0" xfId="0" applyNumberFormat="1" applyFont="1" applyFill="1" applyAlignment="1">
      <alignment wrapText="1"/>
    </xf>
    <xf numFmtId="0" fontId="10" fillId="9" borderId="0" xfId="0" applyFont="1" applyFill="1"/>
    <xf numFmtId="2" fontId="0" fillId="0" borderId="2" xfId="0" applyNumberFormat="1" applyBorder="1"/>
    <xf numFmtId="2" fontId="7" fillId="0" borderId="2" xfId="0" applyNumberFormat="1" applyFont="1" applyBorder="1"/>
    <xf numFmtId="0" fontId="0" fillId="0" borderId="2" xfId="0" applyBorder="1"/>
    <xf numFmtId="0" fontId="0" fillId="0" borderId="0" xfId="0" applyFont="1" applyFill="1" applyBorder="1"/>
    <xf numFmtId="0" fontId="0" fillId="0" borderId="2" xfId="0" applyFont="1" applyFill="1" applyBorder="1"/>
    <xf numFmtId="167" fontId="0" fillId="0" borderId="0" xfId="0" applyNumberFormat="1" applyFill="1"/>
    <xf numFmtId="3" fontId="0" fillId="0" borderId="0" xfId="0" applyNumberFormat="1" applyAlignment="1"/>
    <xf numFmtId="2" fontId="7" fillId="0" borderId="0" xfId="0" applyNumberFormat="1" applyFont="1" applyFill="1"/>
    <xf numFmtId="0" fontId="8" fillId="0" borderId="0" xfId="119" applyBorder="1"/>
    <xf numFmtId="3" fontId="11" fillId="0" borderId="3" xfId="0" applyNumberFormat="1" applyFont="1" applyBorder="1" applyAlignment="1" applyProtection="1">
      <alignment horizontal="right"/>
      <protection locked="0"/>
    </xf>
    <xf numFmtId="1" fontId="8" fillId="3" borderId="0" xfId="119" applyNumberFormat="1" applyFill="1" applyBorder="1"/>
    <xf numFmtId="3" fontId="0" fillId="0" borderId="0" xfId="0" applyNumberFormat="1" applyFill="1" applyAlignment="1"/>
    <xf numFmtId="164" fontId="2" fillId="0" borderId="0" xfId="1" applyNumberFormat="1" applyFont="1" applyFill="1" applyBorder="1"/>
    <xf numFmtId="5" fontId="0" fillId="0" borderId="0" xfId="0" applyNumberFormat="1" applyBorder="1"/>
    <xf numFmtId="2" fontId="0" fillId="0" borderId="0" xfId="0" applyNumberFormat="1" applyFill="1" applyBorder="1"/>
    <xf numFmtId="44" fontId="0" fillId="0" borderId="0" xfId="0" applyNumberFormat="1" applyBorder="1"/>
    <xf numFmtId="1" fontId="0" fillId="0" borderId="2" xfId="0" applyNumberFormat="1" applyBorder="1"/>
    <xf numFmtId="164" fontId="1" fillId="0" borderId="0" xfId="1" applyNumberFormat="1" applyFont="1" applyFill="1"/>
    <xf numFmtId="166" fontId="0" fillId="0" borderId="2" xfId="0" applyNumberFormat="1" applyFill="1" applyBorder="1"/>
    <xf numFmtId="164" fontId="0" fillId="0" borderId="0" xfId="1" applyNumberFormat="1" applyFont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 applyAlignment="1">
      <alignment horizontal="left" vertical="top" wrapText="1"/>
    </xf>
    <xf numFmtId="3" fontId="11" fillId="0" borderId="4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vertical="top" wrapText="1"/>
    </xf>
    <xf numFmtId="3" fontId="0" fillId="0" borderId="0" xfId="1" applyNumberFormat="1" applyFont="1" applyFill="1"/>
    <xf numFmtId="37" fontId="2" fillId="0" borderId="2" xfId="1" applyNumberFormat="1" applyFont="1" applyFill="1" applyBorder="1"/>
    <xf numFmtId="164" fontId="0" fillId="0" borderId="0" xfId="0" applyNumberFormat="1"/>
    <xf numFmtId="0" fontId="13" fillId="0" borderId="0" xfId="120"/>
    <xf numFmtId="43" fontId="0" fillId="0" borderId="0" xfId="1" applyFont="1" applyFill="1"/>
    <xf numFmtId="0" fontId="0" fillId="0" borderId="0" xfId="0" applyAlignment="1">
      <alignment horizontal="right"/>
    </xf>
    <xf numFmtId="2" fontId="0" fillId="3" borderId="5" xfId="0" applyNumberFormat="1" applyFill="1" applyBorder="1"/>
    <xf numFmtId="0" fontId="0" fillId="12" borderId="0" xfId="0" applyFill="1"/>
    <xf numFmtId="0" fontId="10" fillId="12" borderId="0" xfId="0" applyFont="1" applyFill="1"/>
    <xf numFmtId="0" fontId="0" fillId="0" borderId="2" xfId="0" applyFill="1" applyBorder="1"/>
    <xf numFmtId="164" fontId="2" fillId="0" borderId="2" xfId="1" applyNumberFormat="1" applyFont="1" applyFill="1" applyBorder="1"/>
    <xf numFmtId="164" fontId="0" fillId="0" borderId="2" xfId="1" applyNumberFormat="1" applyFont="1" applyFill="1" applyBorder="1"/>
    <xf numFmtId="1" fontId="0" fillId="0" borderId="0" xfId="0" applyNumberFormat="1" applyBorder="1"/>
    <xf numFmtId="2" fontId="0" fillId="0" borderId="2" xfId="0" applyNumberFormat="1" applyFill="1" applyBorder="1"/>
    <xf numFmtId="37" fontId="0" fillId="0" borderId="0" xfId="0" applyNumberFormat="1"/>
    <xf numFmtId="3" fontId="0" fillId="0" borderId="0" xfId="0" applyNumberFormat="1" applyFill="1"/>
    <xf numFmtId="3" fontId="0" fillId="0" borderId="2" xfId="0" applyNumberFormat="1" applyFill="1" applyBorder="1"/>
    <xf numFmtId="0" fontId="14" fillId="0" borderId="0" xfId="0" applyFont="1"/>
    <xf numFmtId="164" fontId="0" fillId="0" borderId="0" xfId="1" applyNumberFormat="1" applyFont="1" applyBorder="1" applyAlignment="1">
      <alignment horizontal="right"/>
    </xf>
    <xf numFmtId="0" fontId="0" fillId="0" borderId="2" xfId="0" applyFill="1" applyBorder="1" applyAlignment="1">
      <alignment horizontal="right"/>
    </xf>
    <xf numFmtId="43" fontId="0" fillId="0" borderId="0" xfId="0" applyNumberFormat="1"/>
    <xf numFmtId="168" fontId="0" fillId="0" borderId="0" xfId="0" applyNumberFormat="1"/>
    <xf numFmtId="2" fontId="14" fillId="0" borderId="0" xfId="0" applyNumberFormat="1" applyFont="1"/>
    <xf numFmtId="0" fontId="0" fillId="13" borderId="0" xfId="0" applyFill="1"/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6" fontId="0" fillId="0" borderId="0" xfId="121" applyNumberFormat="1" applyFont="1" applyBorder="1"/>
    <xf numFmtId="44" fontId="0" fillId="0" borderId="0" xfId="0" applyNumberFormat="1" applyFill="1" applyBorder="1"/>
    <xf numFmtId="0" fontId="0" fillId="0" borderId="0" xfId="0" applyAlignment="1">
      <alignment horizontal="center"/>
    </xf>
    <xf numFmtId="0" fontId="8" fillId="0" borderId="0" xfId="119" applyFill="1"/>
  </cellXfs>
  <cellStyles count="122">
    <cellStyle name="Comma" xfId="1" builtinId="3"/>
    <cellStyle name="Currency" xfId="12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119" builtinId="8"/>
    <cellStyle name="Normal" xfId="0" builtinId="0"/>
    <cellStyle name="Normal 2" xfId="120"/>
  </cellStyles>
  <dxfs count="5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</a:t>
            </a:r>
            <a:r>
              <a:rPr lang="en-US" baseline="0"/>
              <a:t> Ratio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F5-426D-9ADA-079684169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'cash outliers'!$A$2:$A$51</c:f>
              <c:strCache>
                <c:ptCount val="50"/>
                <c:pt idx="0">
                  <c:v>Connecticut</c:v>
                </c:pt>
                <c:pt idx="1">
                  <c:v>Massachusetts</c:v>
                </c:pt>
                <c:pt idx="2">
                  <c:v>Illinois</c:v>
                </c:pt>
                <c:pt idx="3">
                  <c:v>Maryland</c:v>
                </c:pt>
                <c:pt idx="4">
                  <c:v>Maine</c:v>
                </c:pt>
                <c:pt idx="5">
                  <c:v>New Hampshire</c:v>
                </c:pt>
                <c:pt idx="6">
                  <c:v>Pennsylvania</c:v>
                </c:pt>
                <c:pt idx="7">
                  <c:v>California</c:v>
                </c:pt>
                <c:pt idx="8">
                  <c:v>Rhode Island</c:v>
                </c:pt>
                <c:pt idx="9">
                  <c:v>New York</c:v>
                </c:pt>
                <c:pt idx="10">
                  <c:v>Kentucky</c:v>
                </c:pt>
                <c:pt idx="11">
                  <c:v>New Jersey</c:v>
                </c:pt>
                <c:pt idx="12">
                  <c:v>Arizona</c:v>
                </c:pt>
                <c:pt idx="13">
                  <c:v>Wisconsin</c:v>
                </c:pt>
                <c:pt idx="14">
                  <c:v>Michigan</c:v>
                </c:pt>
                <c:pt idx="15">
                  <c:v>Kansas</c:v>
                </c:pt>
                <c:pt idx="16">
                  <c:v>Colorado</c:v>
                </c:pt>
                <c:pt idx="17">
                  <c:v>North Carolina</c:v>
                </c:pt>
                <c:pt idx="18">
                  <c:v>Vermont</c:v>
                </c:pt>
                <c:pt idx="19">
                  <c:v>Iowa</c:v>
                </c:pt>
                <c:pt idx="20">
                  <c:v>West Virginia</c:v>
                </c:pt>
                <c:pt idx="21">
                  <c:v>New Mexico</c:v>
                </c:pt>
                <c:pt idx="22">
                  <c:v>Texas</c:v>
                </c:pt>
                <c:pt idx="23">
                  <c:v>Louisiana</c:v>
                </c:pt>
                <c:pt idx="24">
                  <c:v>Virginia</c:v>
                </c:pt>
                <c:pt idx="25">
                  <c:v>Washington</c:v>
                </c:pt>
                <c:pt idx="26">
                  <c:v>Indiana</c:v>
                </c:pt>
                <c:pt idx="27">
                  <c:v>Georgia</c:v>
                </c:pt>
                <c:pt idx="28">
                  <c:v>Nevada</c:v>
                </c:pt>
                <c:pt idx="29">
                  <c:v>Minnesota</c:v>
                </c:pt>
                <c:pt idx="30">
                  <c:v>Mississippi</c:v>
                </c:pt>
                <c:pt idx="31">
                  <c:v>South Carolina</c:v>
                </c:pt>
                <c:pt idx="32">
                  <c:v>Delaware</c:v>
                </c:pt>
                <c:pt idx="33">
                  <c:v>Missouri</c:v>
                </c:pt>
                <c:pt idx="34">
                  <c:v>Hawaii</c:v>
                </c:pt>
                <c:pt idx="35">
                  <c:v>Oregon</c:v>
                </c:pt>
                <c:pt idx="36">
                  <c:v>Arkansas</c:v>
                </c:pt>
                <c:pt idx="37">
                  <c:v>Oklahoma</c:v>
                </c:pt>
                <c:pt idx="38">
                  <c:v>Nebraska</c:v>
                </c:pt>
                <c:pt idx="39">
                  <c:v>Tennessee</c:v>
                </c:pt>
                <c:pt idx="40">
                  <c:v>Idaho</c:v>
                </c:pt>
                <c:pt idx="41">
                  <c:v>Ohio</c:v>
                </c:pt>
                <c:pt idx="42">
                  <c:v>Utah</c:v>
                </c:pt>
                <c:pt idx="43">
                  <c:v>Alabama</c:v>
                </c:pt>
                <c:pt idx="44">
                  <c:v>Montana</c:v>
                </c:pt>
                <c:pt idx="45">
                  <c:v>North Dakota</c:v>
                </c:pt>
                <c:pt idx="46">
                  <c:v>South Dakota</c:v>
                </c:pt>
                <c:pt idx="47">
                  <c:v>Wyoming</c:v>
                </c:pt>
                <c:pt idx="48">
                  <c:v>Florida </c:v>
                </c:pt>
                <c:pt idx="49">
                  <c:v>Alaska</c:v>
                </c:pt>
              </c:strCache>
            </c:strRef>
          </c:xVal>
          <c:yVal>
            <c:numRef>
              <c:f>'cash outliers'!$B$2:$B$51</c:f>
              <c:numCache>
                <c:formatCode>0.00</c:formatCode>
                <c:ptCount val="50"/>
                <c:pt idx="0">
                  <c:v>0.44122339170245906</c:v>
                </c:pt>
                <c:pt idx="1">
                  <c:v>0.45168049773851948</c:v>
                </c:pt>
                <c:pt idx="2">
                  <c:v>0.52410253663108808</c:v>
                </c:pt>
                <c:pt idx="3">
                  <c:v>0.54768953407131493</c:v>
                </c:pt>
                <c:pt idx="4">
                  <c:v>0.6148413251409387</c:v>
                </c:pt>
                <c:pt idx="5">
                  <c:v>0.61810455342856596</c:v>
                </c:pt>
                <c:pt idx="6">
                  <c:v>0.71494444943681701</c:v>
                </c:pt>
                <c:pt idx="7">
                  <c:v>0.74575800805033399</c:v>
                </c:pt>
                <c:pt idx="8">
                  <c:v>0.77642787137570834</c:v>
                </c:pt>
                <c:pt idx="9">
                  <c:v>0.79008960813160356</c:v>
                </c:pt>
                <c:pt idx="10">
                  <c:v>0.8380538388041221</c:v>
                </c:pt>
                <c:pt idx="11">
                  <c:v>0.84311069036728037</c:v>
                </c:pt>
                <c:pt idx="12">
                  <c:v>0.96032959806009344</c:v>
                </c:pt>
                <c:pt idx="13">
                  <c:v>0.97454423105492183</c:v>
                </c:pt>
                <c:pt idx="14">
                  <c:v>1.0114500954795691</c:v>
                </c:pt>
                <c:pt idx="15">
                  <c:v>1.2188099977280973</c:v>
                </c:pt>
                <c:pt idx="16">
                  <c:v>1.2456252466585094</c:v>
                </c:pt>
                <c:pt idx="17">
                  <c:v>1.2758810144468535</c:v>
                </c:pt>
                <c:pt idx="18">
                  <c:v>1.281968329530015</c:v>
                </c:pt>
                <c:pt idx="19">
                  <c:v>1.4141115969168283</c:v>
                </c:pt>
                <c:pt idx="20">
                  <c:v>1.4463669703408331</c:v>
                </c:pt>
                <c:pt idx="21">
                  <c:v>1.4644715105518258</c:v>
                </c:pt>
                <c:pt idx="22">
                  <c:v>1.4812255720912708</c:v>
                </c:pt>
                <c:pt idx="23">
                  <c:v>1.6237136706647906</c:v>
                </c:pt>
                <c:pt idx="24">
                  <c:v>1.6818898932664057</c:v>
                </c:pt>
                <c:pt idx="25">
                  <c:v>1.7250193489164136</c:v>
                </c:pt>
                <c:pt idx="26">
                  <c:v>1.7591770594988012</c:v>
                </c:pt>
                <c:pt idx="27">
                  <c:v>1.8610540512710023</c:v>
                </c:pt>
                <c:pt idx="28">
                  <c:v>1.9848647703364963</c:v>
                </c:pt>
                <c:pt idx="29">
                  <c:v>2.0436007273303569</c:v>
                </c:pt>
                <c:pt idx="30">
                  <c:v>2.1984924194463873</c:v>
                </c:pt>
                <c:pt idx="31">
                  <c:v>2.2625874815880715</c:v>
                </c:pt>
                <c:pt idx="32">
                  <c:v>2.3011176404338061</c:v>
                </c:pt>
                <c:pt idx="33">
                  <c:v>2.6294862472307678</c:v>
                </c:pt>
                <c:pt idx="34">
                  <c:v>2.63843548618877</c:v>
                </c:pt>
                <c:pt idx="35">
                  <c:v>2.7066494884055228</c:v>
                </c:pt>
                <c:pt idx="36">
                  <c:v>3.0662772711350068</c:v>
                </c:pt>
                <c:pt idx="37">
                  <c:v>3.1445836858451734</c:v>
                </c:pt>
                <c:pt idx="38">
                  <c:v>3.5915868351522646</c:v>
                </c:pt>
                <c:pt idx="39">
                  <c:v>3.7153028691697743</c:v>
                </c:pt>
                <c:pt idx="40">
                  <c:v>3.839543885168744</c:v>
                </c:pt>
                <c:pt idx="41">
                  <c:v>4.0263321849521212</c:v>
                </c:pt>
                <c:pt idx="42">
                  <c:v>4.0491885851150062</c:v>
                </c:pt>
                <c:pt idx="43">
                  <c:v>4.1295309840257932</c:v>
                </c:pt>
                <c:pt idx="44">
                  <c:v>4.8462910833172312</c:v>
                </c:pt>
                <c:pt idx="45">
                  <c:v>4.9078128419522677</c:v>
                </c:pt>
                <c:pt idx="46">
                  <c:v>6.1353239168962057</c:v>
                </c:pt>
                <c:pt idx="47">
                  <c:v>6.438779337345534</c:v>
                </c:pt>
                <c:pt idx="48">
                  <c:v>8.1898146063762205</c:v>
                </c:pt>
                <c:pt idx="49">
                  <c:v>24.687711248251919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5-426D-9ADA-07968416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73296"/>
        <c:axId val="327673856"/>
      </c:scatterChart>
      <c:valAx>
        <c:axId val="32767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73856"/>
        <c:crosses val="autoZero"/>
        <c:crossBetween val="midCat"/>
      </c:valAx>
      <c:valAx>
        <c:axId val="32767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73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Quick</a:t>
            </a:r>
            <a:r>
              <a:rPr lang="en-US" baseline="0"/>
              <a:t> Ratio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E-4B52-9496-451D882469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'cash outliers'!$G$2:$G$51</c:f>
              <c:numCache>
                <c:formatCode>0.00</c:formatCode>
                <c:ptCount val="50"/>
                <c:pt idx="0">
                  <c:v>0.96465868149657896</c:v>
                </c:pt>
                <c:pt idx="1">
                  <c:v>1.0434598092567804</c:v>
                </c:pt>
                <c:pt idx="2">
                  <c:v>1.0743249723955419</c:v>
                </c:pt>
                <c:pt idx="3">
                  <c:v>1.1025964669175603</c:v>
                </c:pt>
                <c:pt idx="4">
                  <c:v>1.1170556190962126</c:v>
                </c:pt>
                <c:pt idx="5">
                  <c:v>1.2340165513788215</c:v>
                </c:pt>
                <c:pt idx="6">
                  <c:v>1.2857116242328945</c:v>
                </c:pt>
                <c:pt idx="7">
                  <c:v>1.3327228074503308</c:v>
                </c:pt>
                <c:pt idx="8">
                  <c:v>1.3606524588899813</c:v>
                </c:pt>
                <c:pt idx="9">
                  <c:v>1.4606740195377221</c:v>
                </c:pt>
                <c:pt idx="10">
                  <c:v>1.7076603436960289</c:v>
                </c:pt>
                <c:pt idx="11">
                  <c:v>1.7155153243880432</c:v>
                </c:pt>
                <c:pt idx="12">
                  <c:v>1.7502674869600108</c:v>
                </c:pt>
                <c:pt idx="13">
                  <c:v>1.7583730990400366</c:v>
                </c:pt>
                <c:pt idx="14">
                  <c:v>1.7592963880741792</c:v>
                </c:pt>
                <c:pt idx="15">
                  <c:v>1.9109844143367991</c:v>
                </c:pt>
                <c:pt idx="16">
                  <c:v>1.9858943309799293</c:v>
                </c:pt>
                <c:pt idx="17">
                  <c:v>1.9904865255789781</c:v>
                </c:pt>
                <c:pt idx="18">
                  <c:v>2.0960585028406951</c:v>
                </c:pt>
                <c:pt idx="19">
                  <c:v>2.180477588790271</c:v>
                </c:pt>
                <c:pt idx="20">
                  <c:v>2.1892530128700352</c:v>
                </c:pt>
                <c:pt idx="21">
                  <c:v>2.2621430067970865</c:v>
                </c:pt>
                <c:pt idx="22">
                  <c:v>2.3212348299633443</c:v>
                </c:pt>
                <c:pt idx="23">
                  <c:v>2.3372685008656946</c:v>
                </c:pt>
                <c:pt idx="24">
                  <c:v>2.3864107221873345</c:v>
                </c:pt>
                <c:pt idx="25">
                  <c:v>2.5198178878102966</c:v>
                </c:pt>
                <c:pt idx="26">
                  <c:v>2.5471572968484404</c:v>
                </c:pt>
                <c:pt idx="27">
                  <c:v>2.7123547673654032</c:v>
                </c:pt>
                <c:pt idx="28">
                  <c:v>2.8626119967655894</c:v>
                </c:pt>
                <c:pt idx="29">
                  <c:v>2.8848224182020048</c:v>
                </c:pt>
                <c:pt idx="30">
                  <c:v>3.0352832723099508</c:v>
                </c:pt>
                <c:pt idx="31">
                  <c:v>3.3176152587400543</c:v>
                </c:pt>
                <c:pt idx="32">
                  <c:v>3.3451361754294759</c:v>
                </c:pt>
                <c:pt idx="33">
                  <c:v>3.3474114233172139</c:v>
                </c:pt>
                <c:pt idx="34">
                  <c:v>3.5166717031967871</c:v>
                </c:pt>
                <c:pt idx="35">
                  <c:v>3.7661178471761985</c:v>
                </c:pt>
                <c:pt idx="36">
                  <c:v>3.7852906100311334</c:v>
                </c:pt>
                <c:pt idx="37">
                  <c:v>4.6640669805123887</c:v>
                </c:pt>
                <c:pt idx="38">
                  <c:v>4.7744498845766667</c:v>
                </c:pt>
                <c:pt idx="39">
                  <c:v>4.8859829960123395</c:v>
                </c:pt>
                <c:pt idx="40">
                  <c:v>5.0663356882986772</c:v>
                </c:pt>
                <c:pt idx="41">
                  <c:v>5.1674229897598192</c:v>
                </c:pt>
                <c:pt idx="42">
                  <c:v>5.2136520286205021</c:v>
                </c:pt>
                <c:pt idx="43">
                  <c:v>5.7892827656472328</c:v>
                </c:pt>
                <c:pt idx="44">
                  <c:v>6.8825861624285913</c:v>
                </c:pt>
                <c:pt idx="45">
                  <c:v>7.4315518646765772</c:v>
                </c:pt>
                <c:pt idx="46">
                  <c:v>8.3587881408408595</c:v>
                </c:pt>
                <c:pt idx="47">
                  <c:v>9.7691810156125687</c:v>
                </c:pt>
                <c:pt idx="48">
                  <c:v>9.9933323471210098</c:v>
                </c:pt>
                <c:pt idx="49">
                  <c:v>25.128892220776599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3E-4B52-9496-451D88246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524240"/>
        <c:axId val="312524800"/>
      </c:scatterChart>
      <c:valAx>
        <c:axId val="312524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524800"/>
        <c:crosses val="autoZero"/>
        <c:crossBetween val="midCat"/>
      </c:valAx>
      <c:valAx>
        <c:axId val="3125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524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4E-4095-850A-CBDEE7A4CF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'cash outliers'!$L$2:$L$51</c:f>
              <c:numCache>
                <c:formatCode>0.00</c:formatCode>
                <c:ptCount val="50"/>
                <c:pt idx="0">
                  <c:v>1.1091158870001576</c:v>
                </c:pt>
                <c:pt idx="1">
                  <c:v>1.109993955471015</c:v>
                </c:pt>
                <c:pt idx="2">
                  <c:v>1.3425875398889273</c:v>
                </c:pt>
                <c:pt idx="3">
                  <c:v>1.3633891596302949</c:v>
                </c:pt>
                <c:pt idx="4">
                  <c:v>1.4212763841254101</c:v>
                </c:pt>
                <c:pt idx="5">
                  <c:v>1.4802318871923892</c:v>
                </c:pt>
                <c:pt idx="6">
                  <c:v>1.5423449459672351</c:v>
                </c:pt>
                <c:pt idx="7">
                  <c:v>1.7642771164905711</c:v>
                </c:pt>
                <c:pt idx="8">
                  <c:v>1.8713536383306208</c:v>
                </c:pt>
                <c:pt idx="9">
                  <c:v>1.9517082186013064</c:v>
                </c:pt>
                <c:pt idx="10">
                  <c:v>1.9543193526792211</c:v>
                </c:pt>
                <c:pt idx="11">
                  <c:v>1.9554118913931882</c:v>
                </c:pt>
                <c:pt idx="12">
                  <c:v>2.0155005162934279</c:v>
                </c:pt>
                <c:pt idx="13">
                  <c:v>2.105145194446552</c:v>
                </c:pt>
                <c:pt idx="14">
                  <c:v>2.2163831430079388</c:v>
                </c:pt>
                <c:pt idx="15">
                  <c:v>2.2333009459967279</c:v>
                </c:pt>
                <c:pt idx="16">
                  <c:v>2.2842328286972573</c:v>
                </c:pt>
                <c:pt idx="17">
                  <c:v>2.3122748963429562</c:v>
                </c:pt>
                <c:pt idx="18">
                  <c:v>2.3472545582166582</c:v>
                </c:pt>
                <c:pt idx="19">
                  <c:v>2.4054804055852985</c:v>
                </c:pt>
                <c:pt idx="20">
                  <c:v>2.4350778560150941</c:v>
                </c:pt>
                <c:pt idx="21">
                  <c:v>2.4580497478500254</c:v>
                </c:pt>
                <c:pt idx="22">
                  <c:v>2.4582234007253261</c:v>
                </c:pt>
                <c:pt idx="23">
                  <c:v>2.5116618953983769</c:v>
                </c:pt>
                <c:pt idx="24">
                  <c:v>2.7318061781580463</c:v>
                </c:pt>
                <c:pt idx="25">
                  <c:v>2.7987023077103967</c:v>
                </c:pt>
                <c:pt idx="26">
                  <c:v>2.8112960615756553</c:v>
                </c:pt>
                <c:pt idx="27">
                  <c:v>2.9565339059822509</c:v>
                </c:pt>
                <c:pt idx="28">
                  <c:v>3.0626826392196982</c:v>
                </c:pt>
                <c:pt idx="29">
                  <c:v>3.3192648338495783</c:v>
                </c:pt>
                <c:pt idx="30">
                  <c:v>3.3629038776226787</c:v>
                </c:pt>
                <c:pt idx="31">
                  <c:v>3.388599772659274</c:v>
                </c:pt>
                <c:pt idx="32">
                  <c:v>3.5915725312210101</c:v>
                </c:pt>
                <c:pt idx="33">
                  <c:v>3.5917903038385126</c:v>
                </c:pt>
                <c:pt idx="34">
                  <c:v>3.7193412809975759</c:v>
                </c:pt>
                <c:pt idx="35">
                  <c:v>3.827064303747671</c:v>
                </c:pt>
                <c:pt idx="36">
                  <c:v>3.9764012363345613</c:v>
                </c:pt>
                <c:pt idx="37">
                  <c:v>4.7710701552478847</c:v>
                </c:pt>
                <c:pt idx="38">
                  <c:v>5.2243975803311997</c:v>
                </c:pt>
                <c:pt idx="39">
                  <c:v>5.2934958662240694</c:v>
                </c:pt>
                <c:pt idx="40">
                  <c:v>5.4166904524087238</c:v>
                </c:pt>
                <c:pt idx="41">
                  <c:v>5.4745466857271836</c:v>
                </c:pt>
                <c:pt idx="42">
                  <c:v>5.5348064764694342</c:v>
                </c:pt>
                <c:pt idx="43">
                  <c:v>6.3084553463207262</c:v>
                </c:pt>
                <c:pt idx="44">
                  <c:v>7.1254232236436374</c:v>
                </c:pt>
                <c:pt idx="45">
                  <c:v>7.4841774452580792</c:v>
                </c:pt>
                <c:pt idx="46">
                  <c:v>8.5145330215873418</c:v>
                </c:pt>
                <c:pt idx="47">
                  <c:v>10.006405198911164</c:v>
                </c:pt>
                <c:pt idx="48">
                  <c:v>10.069655427587447</c:v>
                </c:pt>
                <c:pt idx="49">
                  <c:v>25.720432202269549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4E-4095-850A-CBDEE7A4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527040"/>
        <c:axId val="312527600"/>
      </c:scatterChart>
      <c:valAx>
        <c:axId val="3125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527600"/>
        <c:crosses val="autoZero"/>
        <c:crossBetween val="midCat"/>
      </c:valAx>
      <c:valAx>
        <c:axId val="31252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527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71997</xdr:colOff>
      <xdr:row>52</xdr:row>
      <xdr:rowOff>11206</xdr:rowOff>
    </xdr:from>
    <xdr:to>
      <xdr:col>5</xdr:col>
      <xdr:colOff>806543</xdr:colOff>
      <xdr:row>65</xdr:row>
      <xdr:rowOff>155762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946897</xdr:colOff>
      <xdr:row>52</xdr:row>
      <xdr:rowOff>57150</xdr:rowOff>
    </xdr:from>
    <xdr:to>
      <xdr:col>10</xdr:col>
      <xdr:colOff>644338</xdr:colOff>
      <xdr:row>65</xdr:row>
      <xdr:rowOff>178174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789213</xdr:colOff>
      <xdr:row>52</xdr:row>
      <xdr:rowOff>84364</xdr:rowOff>
    </xdr:from>
    <xdr:to>
      <xdr:col>15</xdr:col>
      <xdr:colOff>435428</xdr:colOff>
      <xdr:row>65</xdr:row>
      <xdr:rowOff>174171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counting.delaware.gov/2015cafr.pdf" TargetMode="External"/><Relationship Id="rId2" Type="http://schemas.openxmlformats.org/officeDocument/2006/relationships/hyperlink" Target="http://www.bea.gov/iTable/iTable.cfm?reqid=70&amp;step=1&amp;isuri=1&amp;acrdn=5" TargetMode="External"/><Relationship Id="rId1" Type="http://schemas.openxmlformats.org/officeDocument/2006/relationships/hyperlink" Target="http://www.census.gov/popest/data/state/totals/2014/index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gs.hawaii.gov/wp-content/uploads/2012/09/soh-cafr-20130630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X61"/>
  <sheetViews>
    <sheetView tabSelected="1" topLeftCell="B1" zoomScaleNormal="100" zoomScalePageLayoutView="115" workbookViewId="0">
      <selection activeCell="E8" sqref="E8"/>
    </sheetView>
  </sheetViews>
  <sheetFormatPr defaultColWidth="12.875" defaultRowHeight="15.75" outlineLevelRow="2" x14ac:dyDescent="0.25"/>
  <cols>
    <col min="1" max="1" width="0" hidden="1" customWidth="1"/>
    <col min="2" max="2" width="15.5" customWidth="1"/>
    <col min="3" max="3" width="9" customWidth="1"/>
    <col min="4" max="4" width="22.375" bestFit="1" customWidth="1"/>
    <col min="5" max="5" width="21.125" bestFit="1" customWidth="1"/>
    <col min="6" max="6" width="22.125" customWidth="1"/>
    <col min="7" max="7" width="20" customWidth="1"/>
    <col min="8" max="8" width="20.625" style="26" customWidth="1"/>
    <col min="9" max="9" width="24.375" customWidth="1"/>
    <col min="10" max="10" width="20" customWidth="1"/>
    <col min="11" max="11" width="24.5" style="8" customWidth="1"/>
    <col min="12" max="12" width="21.125" style="25" customWidth="1"/>
    <col min="13" max="13" width="20" style="26" customWidth="1"/>
    <col min="14" max="14" width="22.625" customWidth="1"/>
    <col min="15" max="15" width="20.125" customWidth="1"/>
    <col min="16" max="16" width="20" customWidth="1"/>
    <col min="17" max="17" width="22.5" customWidth="1"/>
    <col min="18" max="18" width="22" style="5" customWidth="1"/>
    <col min="19" max="19" width="13.375" style="5" customWidth="1"/>
    <col min="20" max="20" width="21.5" style="5" customWidth="1"/>
    <col min="21" max="21" width="21.875" style="5" customWidth="1"/>
    <col min="22" max="22" width="19.375" style="5" customWidth="1"/>
    <col min="23" max="23" width="20" style="5" customWidth="1"/>
    <col min="24" max="24" width="11" style="5" customWidth="1"/>
    <col min="25" max="26" width="12.875" customWidth="1"/>
    <col min="27" max="27" width="15.875" customWidth="1"/>
    <col min="28" max="28" width="16" customWidth="1"/>
    <col min="30" max="30" width="19.125" customWidth="1"/>
    <col min="32" max="32" width="15.875" customWidth="1"/>
    <col min="33" max="33" width="17.75" bestFit="1" customWidth="1"/>
    <col min="34" max="34" width="21" customWidth="1"/>
    <col min="35" max="35" width="15.25" customWidth="1"/>
    <col min="36" max="36" width="21" customWidth="1"/>
    <col min="37" max="37" width="33.125" customWidth="1"/>
    <col min="44" max="44" width="11.125" customWidth="1"/>
    <col min="45" max="45" width="13.5" customWidth="1"/>
    <col min="46" max="46" width="14.125" customWidth="1"/>
  </cols>
  <sheetData>
    <row r="1" spans="1:50" x14ac:dyDescent="0.25">
      <c r="A1" t="s">
        <v>0</v>
      </c>
      <c r="B1" t="s">
        <v>145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55" t="s">
        <v>18</v>
      </c>
      <c r="T1" s="38" t="s">
        <v>168</v>
      </c>
      <c r="U1" s="4" t="s">
        <v>165</v>
      </c>
      <c r="V1" s="4" t="s">
        <v>166</v>
      </c>
      <c r="W1" s="57" t="s">
        <v>167</v>
      </c>
      <c r="X1" s="5" t="s">
        <v>19</v>
      </c>
      <c r="Y1" t="s">
        <v>20</v>
      </c>
      <c r="Z1" t="s">
        <v>21</v>
      </c>
      <c r="AA1" t="s">
        <v>242</v>
      </c>
      <c r="AB1" t="s">
        <v>23</v>
      </c>
      <c r="AC1" t="s">
        <v>239</v>
      </c>
      <c r="AD1" s="6" t="s">
        <v>25</v>
      </c>
      <c r="AE1" s="6" t="s">
        <v>26</v>
      </c>
      <c r="AF1" s="6" t="s">
        <v>173</v>
      </c>
      <c r="AG1" s="6" t="s">
        <v>174</v>
      </c>
      <c r="AH1" s="6" t="s">
        <v>175</v>
      </c>
      <c r="AI1" s="33" t="s">
        <v>240</v>
      </c>
      <c r="AJ1" s="33" t="s">
        <v>241</v>
      </c>
      <c r="AK1" s="7" t="s">
        <v>27</v>
      </c>
      <c r="AL1" s="7" t="s">
        <v>28</v>
      </c>
      <c r="AM1" s="7" t="s">
        <v>176</v>
      </c>
      <c r="AN1" s="7" t="s">
        <v>177</v>
      </c>
      <c r="AO1" s="7" t="s">
        <v>178</v>
      </c>
      <c r="AP1" s="7" t="s">
        <v>206</v>
      </c>
      <c r="AQ1" s="7" t="s">
        <v>207</v>
      </c>
      <c r="AR1" s="95" t="s">
        <v>236</v>
      </c>
      <c r="AS1" s="95" t="s">
        <v>237</v>
      </c>
      <c r="AT1" s="95" t="s">
        <v>238</v>
      </c>
    </row>
    <row r="2" spans="1:50" x14ac:dyDescent="0.25">
      <c r="A2" t="s">
        <v>288</v>
      </c>
      <c r="B2" s="8" t="s">
        <v>195</v>
      </c>
      <c r="C2" s="8" t="s">
        <v>243</v>
      </c>
      <c r="D2" s="12">
        <f>4114461+3650994</f>
        <v>7765455</v>
      </c>
      <c r="E2" s="12">
        <f>D2+34785+228206+949701+58</f>
        <v>8978205</v>
      </c>
      <c r="F2" s="12">
        <f>E2+1078832+232824+81094+37077</f>
        <v>10408032</v>
      </c>
      <c r="G2" s="12">
        <f>M2-F2</f>
        <v>1880469</v>
      </c>
      <c r="H2" s="12">
        <f>365662+10016375</f>
        <v>10382037</v>
      </c>
      <c r="I2" s="12">
        <f>-7772753</f>
        <v>-7772753</v>
      </c>
      <c r="J2" s="12">
        <f>K2-(I2+21075672)</f>
        <v>7279975</v>
      </c>
      <c r="K2" s="13">
        <f>20582894</f>
        <v>20582894</v>
      </c>
      <c r="L2" s="12">
        <f>32719206</f>
        <v>32719206</v>
      </c>
      <c r="M2" s="13">
        <f>12288501</f>
        <v>12288501</v>
      </c>
      <c r="N2" s="14">
        <f>(2489460+3859889+559890+631305+313316+349450+193274+129702)*1000</f>
        <v>8526286000</v>
      </c>
      <c r="O2" s="15">
        <f>(2230339+8615402+1028650+9660373)*1000</f>
        <v>21534764000</v>
      </c>
      <c r="P2" s="14">
        <f>21528143*1000</f>
        <v>21528143000</v>
      </c>
      <c r="Q2" s="53">
        <f>H2*1000</f>
        <v>10382037000</v>
      </c>
      <c r="R2" s="14">
        <f>6621*1000</f>
        <v>6621000</v>
      </c>
      <c r="S2" s="56">
        <f>4858979</f>
        <v>4858979</v>
      </c>
      <c r="T2" s="37">
        <v>69095427431.576904</v>
      </c>
      <c r="U2" s="37">
        <v>11638489853</v>
      </c>
      <c r="V2" s="99"/>
      <c r="W2" s="36">
        <f>184784917*1000</f>
        <v>184784917000</v>
      </c>
      <c r="X2" s="16">
        <f>D2/G2</f>
        <v>4.1295309840257932</v>
      </c>
      <c r="Y2" s="16">
        <f>E2/G2</f>
        <v>4.7744498845766667</v>
      </c>
      <c r="Z2" s="16">
        <f>F2/G2</f>
        <v>5.5348064764694342</v>
      </c>
      <c r="AA2" s="16">
        <f>O2/P2</f>
        <v>1.0003075509113815</v>
      </c>
      <c r="AB2" s="16">
        <f>R2/S2</f>
        <v>1.3626319438713359</v>
      </c>
      <c r="AC2" s="16">
        <f>(I2+J2)/L2</f>
        <v>-1.5060817796128671E-2</v>
      </c>
      <c r="AD2" s="16">
        <f>H2/L2</f>
        <v>0.31730711924977639</v>
      </c>
      <c r="AE2" s="84">
        <f>Q2/S2</f>
        <v>2136.6704815970597</v>
      </c>
      <c r="AF2" s="17">
        <f>N2/W2</f>
        <v>4.6141677245226678E-2</v>
      </c>
      <c r="AG2" s="17">
        <f>O2/W2</f>
        <v>0.11653961995177345</v>
      </c>
      <c r="AH2" s="17">
        <f t="shared" ref="AH2:AH33" si="0">P2/W2</f>
        <v>0.11650378910525473</v>
      </c>
      <c r="AI2" s="34">
        <f>T2/$W2</f>
        <v>0.3739235244593957</v>
      </c>
      <c r="AJ2" s="34">
        <f t="shared" ref="AJ2:AJ27" si="1">U2/$W2</f>
        <v>6.2983981820334392E-2</v>
      </c>
      <c r="AK2">
        <f>1/AD2</f>
        <v>3.1515208431640152</v>
      </c>
      <c r="AL2">
        <f t="shared" ref="AL2:AL33" si="2">1/AE2</f>
        <v>4.6801788512215861E-4</v>
      </c>
      <c r="AM2">
        <f t="shared" ref="AM2:AM33" si="3">1/AF2</f>
        <v>21.672380799799583</v>
      </c>
      <c r="AN2">
        <f t="shared" ref="AN2:AN33" si="4">1/AG2</f>
        <v>8.5807727913804861</v>
      </c>
      <c r="AO2">
        <f t="shared" ref="AO2:AO33" si="5">1/AH2</f>
        <v>8.5834118158728323</v>
      </c>
      <c r="AP2">
        <f t="shared" ref="AP2:AP33" si="6">1/AI2</f>
        <v>2.6743436413789738</v>
      </c>
      <c r="AQ2">
        <f t="shared" ref="AQ2:AQ33" si="7">1/AJ2</f>
        <v>15.877052721953342</v>
      </c>
      <c r="AR2" s="17">
        <f>IF(X2&gt;'cash outliers'!$D$19,'cash outliers'!$D$19,Dataset!X2)</f>
        <v>4.1295309840257932</v>
      </c>
      <c r="AS2" s="17">
        <f>IF(Y2&gt;'cash outliers'!$I$19,'cash outliers'!$I$19,Dataset!Y2)</f>
        <v>4.7744498845766667</v>
      </c>
      <c r="AT2" s="17">
        <f>IF(Z2&gt;'cash outliers'!$N$19,'cash outliers'!$N$19,Dataset!Z2)</f>
        <v>5.5348064764694342</v>
      </c>
    </row>
    <row r="3" spans="1:50" x14ac:dyDescent="0.25">
      <c r="A3" s="18" t="s">
        <v>244</v>
      </c>
      <c r="B3" s="8" t="s">
        <v>196</v>
      </c>
      <c r="C3" s="8">
        <v>2015</v>
      </c>
      <c r="D3" s="12">
        <f>(70966801)</f>
        <v>70966801</v>
      </c>
      <c r="E3" s="12">
        <f>D3+(664926+151244+452040)</f>
        <v>72235011</v>
      </c>
      <c r="F3" s="12">
        <f>E3+(20917+508675+22423+1479+2787+896616+752+246780)</f>
        <v>73935440</v>
      </c>
      <c r="G3" s="12">
        <f>M3-H3</f>
        <v>2874580</v>
      </c>
      <c r="H3" s="12">
        <v>8473003</v>
      </c>
      <c r="I3" s="12">
        <f>16997461</f>
        <v>16997461</v>
      </c>
      <c r="J3" s="12">
        <f>K3-(I3+7500732)</f>
        <v>47382385</v>
      </c>
      <c r="K3" s="13">
        <f>71880578</f>
        <v>71880578</v>
      </c>
      <c r="L3" s="12">
        <f>82719598</f>
        <v>82719598</v>
      </c>
      <c r="M3" s="13">
        <v>11347583</v>
      </c>
      <c r="N3" s="14">
        <f>(-106738+250283+239379+127821+2592)*1000</f>
        <v>513337000</v>
      </c>
      <c r="O3" s="15">
        <f>8574*1000000</f>
        <v>8574000000</v>
      </c>
      <c r="P3" s="14">
        <f>12808086*1000</f>
        <v>12808086000</v>
      </c>
      <c r="Q3" s="53">
        <f>H3*1000</f>
        <v>8473003000</v>
      </c>
      <c r="R3" s="14">
        <f>-4234508*1000</f>
        <v>-4234508000</v>
      </c>
      <c r="S3" s="56">
        <v>738514</v>
      </c>
      <c r="T3" s="37">
        <v>30079929837.655922</v>
      </c>
      <c r="U3" s="37">
        <v>3665518384</v>
      </c>
      <c r="V3" s="36">
        <v>1874621000</v>
      </c>
      <c r="W3" s="36">
        <v>41312407000</v>
      </c>
      <c r="X3" s="16">
        <f t="shared" ref="X3:X51" si="8">D3/G3</f>
        <v>24.687711248251919</v>
      </c>
      <c r="Y3" s="16">
        <f t="shared" ref="Y3:Y51" si="9">E3/G3</f>
        <v>25.128892220776599</v>
      </c>
      <c r="Z3" s="16">
        <f t="shared" ref="Z3:Z51" si="10">F3/G3</f>
        <v>25.720432202269549</v>
      </c>
      <c r="AA3" s="16">
        <f t="shared" ref="AA3:AA33" si="11">O3/P3</f>
        <v>0.66942086428838787</v>
      </c>
      <c r="AB3" s="16">
        <f t="shared" ref="AB3:AB41" si="12">R3/S3</f>
        <v>-5733.8222430448168</v>
      </c>
      <c r="AC3" s="16">
        <f t="shared" ref="AC3:AC33" si="13">(I3+J3)/L3</f>
        <v>0.77829012176775814</v>
      </c>
      <c r="AD3" s="16">
        <f t="shared" ref="AD3:AD33" si="14">H3/L3</f>
        <v>0.10243041800082249</v>
      </c>
      <c r="AE3" s="84">
        <f t="shared" ref="AE3:AE33" si="15">Q3/S3</f>
        <v>11473.043165058481</v>
      </c>
      <c r="AF3" s="17">
        <f t="shared" ref="AF3:AF33" si="16">N3/W3</f>
        <v>1.2425734477296373E-2</v>
      </c>
      <c r="AG3" s="17">
        <f t="shared" ref="AG3:AG33" si="17">O3/W3</f>
        <v>0.20754055797329843</v>
      </c>
      <c r="AH3" s="17">
        <f t="shared" si="0"/>
        <v>0.31003001108117473</v>
      </c>
      <c r="AI3" s="34">
        <f t="shared" ref="AI3:AI27" si="18">T3/$W3</f>
        <v>0.72810886660890817</v>
      </c>
      <c r="AJ3" s="34">
        <f t="shared" si="1"/>
        <v>8.8726817200459898E-2</v>
      </c>
      <c r="AK3">
        <f t="shared" ref="AK3:AK33" si="19">1/AD3</f>
        <v>9.7627249748406797</v>
      </c>
      <c r="AL3">
        <f t="shared" si="2"/>
        <v>8.7160833060014267E-5</v>
      </c>
      <c r="AM3">
        <f t="shared" si="3"/>
        <v>80.478140091207138</v>
      </c>
      <c r="AN3">
        <f t="shared" si="4"/>
        <v>4.8183353160718454</v>
      </c>
      <c r="AO3">
        <f t="shared" si="5"/>
        <v>3.2254941917160767</v>
      </c>
      <c r="AP3">
        <f t="shared" si="6"/>
        <v>1.373420989442687</v>
      </c>
      <c r="AQ3">
        <f t="shared" si="7"/>
        <v>11.270549666407021</v>
      </c>
      <c r="AR3" s="17">
        <f>IF(X3&gt;'cash outliers'!$D$19,'cash outliers'!$D$19,Dataset!X3)</f>
        <v>9.6083785597441249</v>
      </c>
      <c r="AS3" s="17">
        <f>IF(Y3&gt;'cash outliers'!$I$19,'cash outliers'!$I$19,Dataset!Y3)</f>
        <v>12.52060988162825</v>
      </c>
      <c r="AT3" s="17">
        <f>IF(Z3&gt;'cash outliers'!$N$19,'cash outliers'!$N$19,Dataset!Z3)</f>
        <v>12.175876644583088</v>
      </c>
      <c r="AU3" s="17"/>
      <c r="AV3" s="17"/>
      <c r="AW3" s="17"/>
      <c r="AX3" s="17"/>
    </row>
    <row r="4" spans="1:50" x14ac:dyDescent="0.25">
      <c r="A4" t="s">
        <v>245</v>
      </c>
      <c r="B4" s="8" t="s">
        <v>197</v>
      </c>
      <c r="C4" s="8">
        <v>2015</v>
      </c>
      <c r="D4" s="12">
        <f>246192+135098+3313792+446378+527556+409689</f>
        <v>5078705</v>
      </c>
      <c r="E4" s="12">
        <f>D4+(599392+229004+265424+353574)</f>
        <v>6526099</v>
      </c>
      <c r="F4" s="12">
        <f>7516423</f>
        <v>7516423</v>
      </c>
      <c r="G4" s="12">
        <f>5288502</f>
        <v>5288502</v>
      </c>
      <c r="H4" s="12">
        <v>15481225</v>
      </c>
      <c r="I4" s="12">
        <f>-5547592</f>
        <v>-5547592</v>
      </c>
      <c r="J4" s="12">
        <f>K4-(I4+20452337)</f>
        <v>8065905</v>
      </c>
      <c r="K4" s="13">
        <f>22970650</f>
        <v>22970650</v>
      </c>
      <c r="L4" s="12">
        <f>43582923</f>
        <v>43582923</v>
      </c>
      <c r="M4" s="13">
        <f>20769727</f>
        <v>20769727</v>
      </c>
      <c r="N4" s="14">
        <f>(6355707+4430602+314522+52241+1694779+560920)*1000</f>
        <v>13408771000</v>
      </c>
      <c r="O4" s="14">
        <f>34085963*1000</f>
        <v>34085963000</v>
      </c>
      <c r="P4" s="14">
        <f>32416226*1000</f>
        <v>32416226000</v>
      </c>
      <c r="Q4" s="53">
        <f>H4*1000</f>
        <v>15481225000</v>
      </c>
      <c r="R4" s="15">
        <f>1675477*1000</f>
        <v>1675477000</v>
      </c>
      <c r="S4" s="56">
        <v>6829397</v>
      </c>
      <c r="T4" s="36">
        <v>85588604342.065002</v>
      </c>
      <c r="U4" s="37">
        <v>116631706</v>
      </c>
      <c r="V4" s="36">
        <v>10006384000</v>
      </c>
      <c r="W4" s="36">
        <v>266755995000</v>
      </c>
      <c r="X4" s="16">
        <f t="shared" si="8"/>
        <v>0.96032959806009344</v>
      </c>
      <c r="Y4" s="16">
        <f t="shared" si="9"/>
        <v>1.2340165513788215</v>
      </c>
      <c r="Z4" s="16">
        <f t="shared" si="10"/>
        <v>1.4212763841254101</v>
      </c>
      <c r="AA4" s="16">
        <f t="shared" si="11"/>
        <v>1.0515092966096671</v>
      </c>
      <c r="AB4" s="16">
        <f t="shared" si="12"/>
        <v>245.33307991906167</v>
      </c>
      <c r="AC4" s="16">
        <f t="shared" si="13"/>
        <v>5.7782104242985265E-2</v>
      </c>
      <c r="AD4" s="16">
        <f t="shared" si="14"/>
        <v>0.3552130957347675</v>
      </c>
      <c r="AE4" s="84">
        <f t="shared" si="15"/>
        <v>2266.850938669988</v>
      </c>
      <c r="AF4" s="17">
        <f t="shared" si="16"/>
        <v>5.0266053064711817E-2</v>
      </c>
      <c r="AG4" s="17">
        <f t="shared" si="17"/>
        <v>0.12777955749410619</v>
      </c>
      <c r="AH4" s="17">
        <f t="shared" si="0"/>
        <v>0.12152014053142461</v>
      </c>
      <c r="AI4" s="34">
        <f t="shared" si="18"/>
        <v>0.32084978761982463</v>
      </c>
      <c r="AJ4" s="34">
        <f t="shared" si="1"/>
        <v>4.3722243618179979E-4</v>
      </c>
      <c r="AK4">
        <f t="shared" si="19"/>
        <v>2.8152115223440006</v>
      </c>
      <c r="AL4">
        <f t="shared" si="2"/>
        <v>4.4114060741317306E-4</v>
      </c>
      <c r="AM4">
        <f t="shared" si="3"/>
        <v>19.894142050751704</v>
      </c>
      <c r="AN4">
        <f t="shared" si="4"/>
        <v>7.8259779546202051</v>
      </c>
      <c r="AO4">
        <f t="shared" si="5"/>
        <v>8.229088574345452</v>
      </c>
      <c r="AP4">
        <f t="shared" si="6"/>
        <v>3.1167232723398324</v>
      </c>
      <c r="AQ4">
        <f t="shared" si="7"/>
        <v>2287.1653356420939</v>
      </c>
      <c r="AR4" s="17">
        <f>IF(X4&gt;'cash outliers'!$D$19,'cash outliers'!$D$19,Dataset!X4)</f>
        <v>0.96032959806009344</v>
      </c>
      <c r="AS4" s="17">
        <f>IF(Y4&gt;'cash outliers'!$I$19,'cash outliers'!$I$19,Dataset!Y4)</f>
        <v>1.2340165513788215</v>
      </c>
      <c r="AT4" s="17">
        <f>IF(Z4&gt;'cash outliers'!$N$19,'cash outliers'!$N$19,Dataset!Z4)</f>
        <v>1.4212763841254101</v>
      </c>
    </row>
    <row r="5" spans="1:50" x14ac:dyDescent="0.25">
      <c r="A5" t="s">
        <v>246</v>
      </c>
      <c r="B5" s="8" t="s">
        <v>198</v>
      </c>
      <c r="C5" s="8">
        <v>2015</v>
      </c>
      <c r="D5" s="12">
        <f>(2578867+2874455)</f>
        <v>5453322</v>
      </c>
      <c r="E5" s="12">
        <f>D5+(558304+401065+234712+33023+87+9926+41636)</f>
        <v>6732075</v>
      </c>
      <c r="F5" s="12">
        <f>7071962</f>
        <v>7071962</v>
      </c>
      <c r="G5" s="12">
        <f>1778483</f>
        <v>1778483</v>
      </c>
      <c r="H5" s="12">
        <v>8256026</v>
      </c>
      <c r="I5" s="12">
        <f>-293007</f>
        <v>-293007</v>
      </c>
      <c r="J5" s="12">
        <f>K5-(I5+12413792)</f>
        <v>2676830</v>
      </c>
      <c r="K5" s="13">
        <f>14797615</f>
        <v>14797615</v>
      </c>
      <c r="L5" s="12">
        <f>24953957</f>
        <v>24953957</v>
      </c>
      <c r="M5" s="13">
        <f>10034509</f>
        <v>10034509</v>
      </c>
      <c r="N5" s="14">
        <f>7623343*1000</f>
        <v>7623343000</v>
      </c>
      <c r="O5" s="14">
        <f>20977297*1000</f>
        <v>20977297000</v>
      </c>
      <c r="P5" s="14">
        <f>20120997*1000</f>
        <v>20120997000</v>
      </c>
      <c r="Q5" s="53">
        <f t="shared" ref="Q5:Q49" si="20">H5*1000</f>
        <v>8256026000</v>
      </c>
      <c r="R5" s="15">
        <f>856300*1000</f>
        <v>856300000</v>
      </c>
      <c r="S5" s="56">
        <v>2978618</v>
      </c>
      <c r="T5" s="36">
        <v>38708032235.271591</v>
      </c>
      <c r="U5" s="36">
        <v>1899841780</v>
      </c>
      <c r="V5" s="36">
        <v>4098619000</v>
      </c>
      <c r="W5" s="36">
        <v>116485302000</v>
      </c>
      <c r="X5" s="16">
        <f t="shared" si="8"/>
        <v>3.0662772711350068</v>
      </c>
      <c r="Y5" s="16">
        <f t="shared" si="9"/>
        <v>3.7852906100311334</v>
      </c>
      <c r="Z5" s="16">
        <f t="shared" si="10"/>
        <v>3.9764012363345613</v>
      </c>
      <c r="AA5" s="16">
        <f t="shared" si="11"/>
        <v>1.042557533307122</v>
      </c>
      <c r="AB5" s="16">
        <f t="shared" si="12"/>
        <v>287.48231562422575</v>
      </c>
      <c r="AC5" s="16">
        <f t="shared" si="13"/>
        <v>9.5528857407264106E-2</v>
      </c>
      <c r="AD5" s="16">
        <f t="shared" si="14"/>
        <v>0.33085037375034348</v>
      </c>
      <c r="AE5" s="84">
        <f t="shared" si="15"/>
        <v>2771.7639522758541</v>
      </c>
      <c r="AF5" s="17">
        <f t="shared" si="16"/>
        <v>6.5444677303579474E-2</v>
      </c>
      <c r="AG5" s="17">
        <f t="shared" si="17"/>
        <v>0.1800853553180469</v>
      </c>
      <c r="AH5" s="17">
        <f t="shared" si="0"/>
        <v>0.17273421328297711</v>
      </c>
      <c r="AI5" s="34">
        <f t="shared" si="18"/>
        <v>0.33229971138566128</v>
      </c>
      <c r="AJ5" s="34">
        <f t="shared" si="1"/>
        <v>1.6309712447670006E-2</v>
      </c>
      <c r="AK5">
        <f t="shared" si="19"/>
        <v>3.022514342856963</v>
      </c>
      <c r="AL5">
        <f t="shared" si="2"/>
        <v>3.6078108281151249E-4</v>
      </c>
      <c r="AM5">
        <f t="shared" si="3"/>
        <v>15.280081455078172</v>
      </c>
      <c r="AN5">
        <f t="shared" si="4"/>
        <v>5.5529223808005392</v>
      </c>
      <c r="AO5">
        <f t="shared" si="5"/>
        <v>5.7892410599733202</v>
      </c>
      <c r="AP5">
        <f t="shared" si="6"/>
        <v>3.009331533362114</v>
      </c>
      <c r="AQ5">
        <f t="shared" si="7"/>
        <v>61.313159456889096</v>
      </c>
      <c r="AR5" s="17">
        <f>IF(X5&gt;'cash outliers'!$D$19,'cash outliers'!$D$19,Dataset!X5)</f>
        <v>3.0662772711350068</v>
      </c>
      <c r="AS5" s="17">
        <f>IF(Y5&gt;'cash outliers'!$I$19,'cash outliers'!$I$19,Dataset!Y5)</f>
        <v>3.7852906100311334</v>
      </c>
      <c r="AT5" s="17">
        <f>IF(Z5&gt;'cash outliers'!$N$19,'cash outliers'!$N$19,Dataset!Z5)</f>
        <v>3.9764012363345613</v>
      </c>
    </row>
    <row r="6" spans="1:50" x14ac:dyDescent="0.25">
      <c r="A6" t="s">
        <v>247</v>
      </c>
      <c r="B6" s="8" t="s">
        <v>199</v>
      </c>
      <c r="C6" s="8">
        <v>2015</v>
      </c>
      <c r="D6" s="12">
        <f>(35184460+11643+3010135)</f>
        <v>38206238</v>
      </c>
      <c r="E6" s="12">
        <f>D6+(19022102)</f>
        <v>57228340</v>
      </c>
      <c r="F6" s="12">
        <f>79016514</f>
        <v>79016514</v>
      </c>
      <c r="G6" s="12">
        <f>51231415</f>
        <v>51231415</v>
      </c>
      <c r="H6" s="12">
        <v>214408183</v>
      </c>
      <c r="I6" s="12">
        <f>-175105784</f>
        <v>-175105784</v>
      </c>
      <c r="J6" s="12">
        <f>K6-(I6+102972904)</f>
        <v>31169446</v>
      </c>
      <c r="K6" s="13">
        <f>-40963434</f>
        <v>-40963434</v>
      </c>
      <c r="L6" s="12">
        <f>231489975</f>
        <v>231489975</v>
      </c>
      <c r="M6" s="13">
        <v>265639598</v>
      </c>
      <c r="N6" s="14">
        <f>(78098865+38224080+10720647+5393994+3926319+2235498)*1000</f>
        <v>138599403000</v>
      </c>
      <c r="O6" s="14">
        <f>275530*1000000</f>
        <v>275530000000</v>
      </c>
      <c r="P6" s="14">
        <f>259735796*1000</f>
        <v>259735796000</v>
      </c>
      <c r="Q6" s="53">
        <f t="shared" si="20"/>
        <v>214408183000</v>
      </c>
      <c r="R6" s="14">
        <f>15793535*1000</f>
        <v>15793535000</v>
      </c>
      <c r="S6" s="56">
        <v>39151017</v>
      </c>
      <c r="T6" s="36">
        <v>925693860131.70728</v>
      </c>
      <c r="U6" s="36">
        <v>73200000000</v>
      </c>
      <c r="V6" s="36">
        <v>114456650000</v>
      </c>
      <c r="W6" s="36">
        <v>2061337141000</v>
      </c>
      <c r="X6" s="16">
        <f t="shared" si="8"/>
        <v>0.74575800805033399</v>
      </c>
      <c r="Y6" s="16">
        <f t="shared" si="9"/>
        <v>1.1170556190962126</v>
      </c>
      <c r="Z6" s="16">
        <f t="shared" si="10"/>
        <v>1.5423449459672351</v>
      </c>
      <c r="AA6" s="16">
        <f t="shared" si="11"/>
        <v>1.0608087304223559</v>
      </c>
      <c r="AB6" s="16">
        <f t="shared" si="12"/>
        <v>403.40037654705111</v>
      </c>
      <c r="AC6" s="16">
        <f t="shared" si="13"/>
        <v>-0.62178216572877509</v>
      </c>
      <c r="AD6" s="16">
        <f t="shared" si="14"/>
        <v>0.92620936608593962</v>
      </c>
      <c r="AE6" s="84">
        <f t="shared" si="15"/>
        <v>5476.4396797150885</v>
      </c>
      <c r="AF6" s="17">
        <f t="shared" si="16"/>
        <v>6.7237619816408287E-2</v>
      </c>
      <c r="AG6" s="17">
        <f t="shared" si="17"/>
        <v>0.13366566512566419</v>
      </c>
      <c r="AH6" s="17">
        <f t="shared" si="0"/>
        <v>0.12600354926608293</v>
      </c>
      <c r="AI6" s="34">
        <f t="shared" si="18"/>
        <v>0.44907445837929882</v>
      </c>
      <c r="AJ6" s="34">
        <f t="shared" si="1"/>
        <v>3.5510930523712909E-2</v>
      </c>
      <c r="AK6">
        <f t="shared" si="19"/>
        <v>1.0796694965695408</v>
      </c>
      <c r="AL6">
        <f t="shared" si="2"/>
        <v>1.8260038610559936E-4</v>
      </c>
      <c r="AM6">
        <f t="shared" si="3"/>
        <v>14.872626406623121</v>
      </c>
      <c r="AN6">
        <f t="shared" si="4"/>
        <v>7.4813528145755441</v>
      </c>
      <c r="AO6">
        <f t="shared" si="5"/>
        <v>7.9362843810716015</v>
      </c>
      <c r="AP6">
        <f t="shared" si="6"/>
        <v>2.22680221807533</v>
      </c>
      <c r="AQ6">
        <f t="shared" si="7"/>
        <v>28.160343456284153</v>
      </c>
      <c r="AR6" s="17">
        <f>IF(X6&gt;'cash outliers'!$D$19,'cash outliers'!$D$19,Dataset!X6)</f>
        <v>0.74575800805033399</v>
      </c>
      <c r="AS6" s="17">
        <f>IF(Y6&gt;'cash outliers'!$I$19,'cash outliers'!$I$19,Dataset!Y6)</f>
        <v>1.1170556190962126</v>
      </c>
      <c r="AT6" s="17">
        <f>IF(Z6&gt;'cash outliers'!$N$19,'cash outliers'!$N$19,Dataset!Z6)</f>
        <v>1.5423449459672351</v>
      </c>
    </row>
    <row r="7" spans="1:50" outlineLevel="1" x14ac:dyDescent="0.25">
      <c r="A7" t="s">
        <v>248</v>
      </c>
      <c r="B7" s="8" t="s">
        <v>200</v>
      </c>
      <c r="C7" s="8">
        <v>2015</v>
      </c>
      <c r="D7" s="12">
        <f>5151634+378115</f>
        <v>5529749</v>
      </c>
      <c r="E7" s="12">
        <f>D7+1395148+881112</f>
        <v>7806009</v>
      </c>
      <c r="F7" s="12">
        <f>8947484</f>
        <v>8947484</v>
      </c>
      <c r="G7" s="12">
        <f>4439336</f>
        <v>4439336</v>
      </c>
      <c r="H7" s="12">
        <v>16605811</v>
      </c>
      <c r="I7" s="12">
        <f>-4782333</f>
        <v>-4782333</v>
      </c>
      <c r="J7" s="12">
        <f>K7-(I7+15072637)</f>
        <v>5004318</v>
      </c>
      <c r="K7" s="13">
        <f>15294622</f>
        <v>15294622</v>
      </c>
      <c r="L7" s="12">
        <f>35725980</f>
        <v>35725980</v>
      </c>
      <c r="M7" s="13">
        <f>21045147</f>
        <v>21045147</v>
      </c>
      <c r="N7" s="14">
        <f>(2762222+267858+5847141+613316+673282+460192+59610+599386+67327)*1000</f>
        <v>11350334000</v>
      </c>
      <c r="O7" s="15">
        <f>29998216*1000</f>
        <v>29998216000</v>
      </c>
      <c r="P7" s="14">
        <f>29207029*1000</f>
        <v>29207029000</v>
      </c>
      <c r="Q7" s="53">
        <f t="shared" si="20"/>
        <v>16605811000</v>
      </c>
      <c r="R7" s="15">
        <f>791588*1000</f>
        <v>791588000</v>
      </c>
      <c r="S7" s="56">
        <v>5457432</v>
      </c>
      <c r="T7" s="36">
        <v>93719042622.557434</v>
      </c>
      <c r="U7" s="36">
        <v>1829962098</v>
      </c>
      <c r="V7" s="36">
        <v>6429751000</v>
      </c>
      <c r="W7" s="36">
        <v>275107294000</v>
      </c>
      <c r="X7" s="16">
        <f t="shared" si="8"/>
        <v>1.2456252466585094</v>
      </c>
      <c r="Y7" s="16">
        <f t="shared" si="9"/>
        <v>1.7583730990400366</v>
      </c>
      <c r="Z7" s="16">
        <f t="shared" si="10"/>
        <v>2.0155005162934279</v>
      </c>
      <c r="AA7" s="16">
        <f t="shared" si="11"/>
        <v>1.0270889243818671</v>
      </c>
      <c r="AB7" s="16">
        <f t="shared" si="12"/>
        <v>145.04770741990006</v>
      </c>
      <c r="AC7" s="16">
        <f t="shared" si="13"/>
        <v>6.213545436682213E-3</v>
      </c>
      <c r="AD7" s="16">
        <f t="shared" si="14"/>
        <v>0.46481051044645944</v>
      </c>
      <c r="AE7" s="84">
        <f t="shared" si="15"/>
        <v>3042.788439691049</v>
      </c>
      <c r="AF7" s="17">
        <f t="shared" si="16"/>
        <v>4.1257844657510243E-2</v>
      </c>
      <c r="AG7" s="17">
        <f t="shared" si="17"/>
        <v>0.10904187803904611</v>
      </c>
      <c r="AH7" s="17">
        <f t="shared" si="0"/>
        <v>0.10616595647224097</v>
      </c>
      <c r="AI7" s="34">
        <f t="shared" si="18"/>
        <v>0.34066360531523177</v>
      </c>
      <c r="AJ7" s="34">
        <f t="shared" si="1"/>
        <v>6.6518123579813191E-3</v>
      </c>
      <c r="AK7">
        <f t="shared" si="19"/>
        <v>2.1514143452554046</v>
      </c>
      <c r="AL7">
        <f t="shared" si="2"/>
        <v>3.2864591798617966E-4</v>
      </c>
      <c r="AM7">
        <f t="shared" si="3"/>
        <v>24.237814851968235</v>
      </c>
      <c r="AN7">
        <f t="shared" si="4"/>
        <v>9.1707884895555125</v>
      </c>
      <c r="AO7">
        <f t="shared" si="5"/>
        <v>9.4192152854711786</v>
      </c>
      <c r="AP7">
        <f t="shared" si="6"/>
        <v>2.935447122608398</v>
      </c>
      <c r="AQ7">
        <f t="shared" si="7"/>
        <v>150.33496830380801</v>
      </c>
      <c r="AR7" s="17">
        <f>IF(X7&gt;'cash outliers'!$D$19,'cash outliers'!$D$19,Dataset!X7)</f>
        <v>1.2456252466585094</v>
      </c>
      <c r="AS7" s="17">
        <f>IF(Y7&gt;'cash outliers'!$I$19,'cash outliers'!$I$19,Dataset!Y7)</f>
        <v>1.7583730990400366</v>
      </c>
      <c r="AT7" s="17">
        <f>IF(Z7&gt;'cash outliers'!$N$19,'cash outliers'!$N$19,Dataset!Z7)</f>
        <v>2.0155005162934279</v>
      </c>
    </row>
    <row r="8" spans="1:50" s="8" customFormat="1" outlineLevel="1" x14ac:dyDescent="0.25">
      <c r="A8" s="8" t="s">
        <v>249</v>
      </c>
      <c r="B8" s="8" t="s">
        <v>201</v>
      </c>
      <c r="C8" s="8">
        <v>2015</v>
      </c>
      <c r="D8" s="12">
        <f>(1879683+135027+182117)</f>
        <v>2196827</v>
      </c>
      <c r="E8" s="12">
        <f>D8+(2998502)</f>
        <v>5195329</v>
      </c>
      <c r="F8" s="12">
        <f>5522227</f>
        <v>5522227</v>
      </c>
      <c r="G8" s="12">
        <f>4978945</f>
        <v>4978945</v>
      </c>
      <c r="H8" s="12">
        <v>57235988</v>
      </c>
      <c r="I8" s="12">
        <f>-46771934</f>
        <v>-46771934</v>
      </c>
      <c r="J8" s="12">
        <f>K8-(I8+8406469)</f>
        <v>3039354</v>
      </c>
      <c r="K8" s="13">
        <f>-35326111</f>
        <v>-35326111</v>
      </c>
      <c r="L8" s="12">
        <f>25852106</f>
        <v>25852106</v>
      </c>
      <c r="M8" s="13">
        <f>62214933</f>
        <v>62214933</v>
      </c>
      <c r="N8" s="14">
        <f>(8186946+687347+4167054+1735788)*1000</f>
        <v>14777135000</v>
      </c>
      <c r="O8" s="14">
        <f>29472*1000000</f>
        <v>29472000000</v>
      </c>
      <c r="P8" s="14">
        <f>26656561*1000</f>
        <v>26656561000</v>
      </c>
      <c r="Q8" s="53">
        <f t="shared" si="20"/>
        <v>57235988000</v>
      </c>
      <c r="R8" s="14">
        <f>2815299*1000</f>
        <v>2815299000</v>
      </c>
      <c r="S8" s="56">
        <v>3591346</v>
      </c>
      <c r="T8" s="36">
        <v>94745588382.053131</v>
      </c>
      <c r="U8" s="36">
        <v>21975514019</v>
      </c>
      <c r="V8" s="36">
        <v>22404499000</v>
      </c>
      <c r="W8" s="36">
        <v>240519358000</v>
      </c>
      <c r="X8" s="16">
        <f t="shared" si="8"/>
        <v>0.44122339170245906</v>
      </c>
      <c r="Y8" s="16">
        <f t="shared" si="9"/>
        <v>1.0434598092567804</v>
      </c>
      <c r="Z8" s="16">
        <f t="shared" si="10"/>
        <v>1.1091158870001576</v>
      </c>
      <c r="AA8" s="16">
        <f t="shared" si="11"/>
        <v>1.1056189881357914</v>
      </c>
      <c r="AB8" s="16">
        <f t="shared" si="12"/>
        <v>783.91193719569208</v>
      </c>
      <c r="AC8" s="16">
        <f t="shared" si="13"/>
        <v>-1.6916447735437878</v>
      </c>
      <c r="AD8" s="16">
        <f t="shared" si="14"/>
        <v>2.2139777703216907</v>
      </c>
      <c r="AE8" s="84">
        <f t="shared" si="15"/>
        <v>15937.19680587724</v>
      </c>
      <c r="AF8" s="17">
        <f t="shared" si="16"/>
        <v>6.1438443553470654E-2</v>
      </c>
      <c r="AG8" s="17">
        <f t="shared" si="17"/>
        <v>0.12253483563680559</v>
      </c>
      <c r="AH8" s="17">
        <f t="shared" si="0"/>
        <v>0.11082917076470826</v>
      </c>
      <c r="AI8" s="34">
        <f t="shared" si="18"/>
        <v>0.39392084350255552</v>
      </c>
      <c r="AJ8" s="34">
        <f t="shared" si="1"/>
        <v>9.1366924482643927E-2</v>
      </c>
      <c r="AK8">
        <f t="shared" si="19"/>
        <v>0.45167571843085852</v>
      </c>
      <c r="AL8">
        <f t="shared" si="2"/>
        <v>6.2746291721215678E-5</v>
      </c>
      <c r="AM8">
        <f t="shared" si="3"/>
        <v>16.276453994634277</v>
      </c>
      <c r="AN8">
        <f t="shared" si="4"/>
        <v>8.160944557546145</v>
      </c>
      <c r="AO8">
        <f t="shared" si="5"/>
        <v>9.022895263946463</v>
      </c>
      <c r="AP8">
        <f t="shared" si="6"/>
        <v>2.5385810791540728</v>
      </c>
      <c r="AQ8">
        <f t="shared" si="7"/>
        <v>10.944879732599079</v>
      </c>
      <c r="AR8" s="17">
        <f>IF(X8&gt;'cash outliers'!$D$19,'cash outliers'!$D$19,Dataset!X8)</f>
        <v>0.44122339170245906</v>
      </c>
      <c r="AS8" s="17">
        <f>IF(Y8&gt;'cash outliers'!$I$19,'cash outliers'!$I$19,Dataset!Y8)</f>
        <v>1.0434598092567804</v>
      </c>
      <c r="AT8" s="17">
        <f>IF(Z8&gt;'cash outliers'!$N$19,'cash outliers'!$N$19,Dataset!Z8)</f>
        <v>1.1091158870001576</v>
      </c>
    </row>
    <row r="9" spans="1:50" s="8" customFormat="1" outlineLevel="1" x14ac:dyDescent="0.25">
      <c r="A9" s="101" t="s">
        <v>250</v>
      </c>
      <c r="B9" s="8" t="s">
        <v>202</v>
      </c>
      <c r="C9" s="8">
        <v>2015</v>
      </c>
      <c r="D9" s="12">
        <f>(173746+1373499+189443)</f>
        <v>1736688</v>
      </c>
      <c r="E9" s="12">
        <f>D9+767166</f>
        <v>2503854</v>
      </c>
      <c r="F9" s="13">
        <f>E9+(22957+207+11016)</f>
        <v>2538034</v>
      </c>
      <c r="G9" s="12">
        <f t="shared" ref="G9:G15" si="21">M9-H9</f>
        <v>754715</v>
      </c>
      <c r="H9" s="12">
        <v>6639797</v>
      </c>
      <c r="I9" s="12">
        <f>-2518054</f>
        <v>-2518054</v>
      </c>
      <c r="J9" s="12">
        <f>K9-(I9+5210405)</f>
        <v>958533</v>
      </c>
      <c r="K9" s="13">
        <f>3650884</f>
        <v>3650884</v>
      </c>
      <c r="L9" s="12">
        <f>11429889</f>
        <v>11429889</v>
      </c>
      <c r="M9" s="13">
        <f>7394512</f>
        <v>7394512</v>
      </c>
      <c r="N9" s="14">
        <f>(1140248+2291067+552215+224842)*1000</f>
        <v>4208372000</v>
      </c>
      <c r="O9" s="14">
        <f>(8324864)*1000</f>
        <v>8324864000</v>
      </c>
      <c r="P9" s="14">
        <f>(8269966)*1000</f>
        <v>8269966000</v>
      </c>
      <c r="Q9" s="53">
        <f>H9*1000</f>
        <v>6639797000</v>
      </c>
      <c r="R9" s="14">
        <f>(54898)*1000</f>
        <v>54898000</v>
      </c>
      <c r="S9" s="56">
        <v>946108</v>
      </c>
      <c r="T9" s="36">
        <v>10062362804.070995</v>
      </c>
      <c r="U9" s="36">
        <v>6009000000</v>
      </c>
      <c r="V9" s="36">
        <v>3058315000</v>
      </c>
      <c r="W9" s="36">
        <v>45093172000</v>
      </c>
      <c r="X9" s="16">
        <f t="shared" si="8"/>
        <v>2.3011176404338061</v>
      </c>
      <c r="Y9" s="16">
        <f t="shared" si="9"/>
        <v>3.3176152587400543</v>
      </c>
      <c r="Z9" s="16">
        <f t="shared" si="10"/>
        <v>3.3629038776226787</v>
      </c>
      <c r="AA9" s="16">
        <f t="shared" si="11"/>
        <v>1.0066382376904572</v>
      </c>
      <c r="AB9" s="61">
        <f t="shared" si="12"/>
        <v>58.02508804491665</v>
      </c>
      <c r="AC9" s="16">
        <f t="shared" si="13"/>
        <v>-0.13644235740172106</v>
      </c>
      <c r="AD9" s="16">
        <f t="shared" si="14"/>
        <v>0.58091526523135961</v>
      </c>
      <c r="AE9" s="84">
        <f t="shared" si="15"/>
        <v>7018.0116857694893</v>
      </c>
      <c r="AF9" s="17">
        <f t="shared" si="16"/>
        <v>9.3326147027314912E-2</v>
      </c>
      <c r="AG9" s="17">
        <f t="shared" si="17"/>
        <v>0.18461473502019329</v>
      </c>
      <c r="AH9" s="17">
        <f t="shared" si="0"/>
        <v>0.18339730015000941</v>
      </c>
      <c r="AI9" s="34">
        <f t="shared" si="18"/>
        <v>0.22314604091437604</v>
      </c>
      <c r="AJ9" s="34">
        <f t="shared" si="1"/>
        <v>0.13325742531485699</v>
      </c>
      <c r="AK9">
        <f t="shared" si="19"/>
        <v>1.7214214530956293</v>
      </c>
      <c r="AL9">
        <f t="shared" si="2"/>
        <v>1.4249050083910698E-4</v>
      </c>
      <c r="AM9">
        <f t="shared" si="3"/>
        <v>10.715110736408283</v>
      </c>
      <c r="AN9">
        <f t="shared" si="4"/>
        <v>5.4166857260370866</v>
      </c>
      <c r="AO9">
        <f t="shared" si="5"/>
        <v>5.4526429733810273</v>
      </c>
      <c r="AP9">
        <f t="shared" si="6"/>
        <v>4.4813701193278739</v>
      </c>
      <c r="AQ9">
        <f t="shared" si="7"/>
        <v>7.5042722582792472</v>
      </c>
      <c r="AR9" s="17">
        <f>IF(X9&gt;'cash outliers'!$D$19,'cash outliers'!$D$19,Dataset!X9)</f>
        <v>2.3011176404338061</v>
      </c>
      <c r="AS9" s="17">
        <f>IF(Y9&gt;'cash outliers'!$I$19,'cash outliers'!$I$19,Dataset!Y9)</f>
        <v>3.3176152587400543</v>
      </c>
      <c r="AT9" s="17">
        <f>IF(Z9&gt;'cash outliers'!$N$19,'cash outliers'!$N$19,Dataset!Z9)</f>
        <v>3.3629038776226787</v>
      </c>
    </row>
    <row r="10" spans="1:50" s="8" customFormat="1" outlineLevel="1" x14ac:dyDescent="0.25">
      <c r="A10" s="8" t="s">
        <v>251</v>
      </c>
      <c r="B10" s="8" t="s">
        <v>203</v>
      </c>
      <c r="C10" s="8">
        <v>2015</v>
      </c>
      <c r="D10" s="12">
        <f>(170448+18414726+27254627)</f>
        <v>45839801</v>
      </c>
      <c r="E10" s="12">
        <f>D10+(5219341+4875258)</f>
        <v>55934400</v>
      </c>
      <c r="F10" s="12">
        <f>E10+(4930+35031+33210)</f>
        <v>56007571</v>
      </c>
      <c r="G10" s="12">
        <f t="shared" si="21"/>
        <v>5597172</v>
      </c>
      <c r="H10" s="12">
        <v>46698607</v>
      </c>
      <c r="I10" s="12">
        <f>-11476678</f>
        <v>-11476678</v>
      </c>
      <c r="J10" s="12">
        <f>K10-(I10+71480621)</f>
        <v>25306425</v>
      </c>
      <c r="K10" s="13">
        <f>85310368</f>
        <v>85310368</v>
      </c>
      <c r="L10" s="12">
        <f>138498374</f>
        <v>138498374</v>
      </c>
      <c r="M10" s="13">
        <f>(52295779)</f>
        <v>52295779</v>
      </c>
      <c r="N10" s="15">
        <f>(22916865+2799442+2236690+2118466+305131+1261598+1647809+914710+779056+1241641)*1000</f>
        <v>36221408000</v>
      </c>
      <c r="O10" s="15">
        <f>(83631)*1000000</f>
        <v>83631000000</v>
      </c>
      <c r="P10" s="14">
        <f>(77874590*1000)</f>
        <v>77874590000</v>
      </c>
      <c r="Q10" s="53">
        <f t="shared" si="20"/>
        <v>46698607000</v>
      </c>
      <c r="R10" s="14">
        <f>5648175*1000</f>
        <v>5648175000</v>
      </c>
      <c r="S10" s="56">
        <v>20276023</v>
      </c>
      <c r="T10" s="37">
        <v>197653008951.59058</v>
      </c>
      <c r="U10" s="37">
        <v>15443493975</v>
      </c>
      <c r="V10" s="36">
        <v>24557000000</v>
      </c>
      <c r="W10" s="36">
        <v>894189554000</v>
      </c>
      <c r="X10" s="16">
        <f t="shared" si="8"/>
        <v>8.1898146063762205</v>
      </c>
      <c r="Y10" s="16">
        <f t="shared" si="9"/>
        <v>9.9933323471210098</v>
      </c>
      <c r="Z10" s="16">
        <f t="shared" si="10"/>
        <v>10.006405198911164</v>
      </c>
      <c r="AA10" s="16">
        <f t="shared" si="11"/>
        <v>1.073918976652076</v>
      </c>
      <c r="AB10" s="16">
        <f t="shared" si="12"/>
        <v>278.56424309639027</v>
      </c>
      <c r="AC10" s="16">
        <f t="shared" si="13"/>
        <v>9.9854941257288693E-2</v>
      </c>
      <c r="AD10" s="16">
        <f t="shared" si="14"/>
        <v>0.3371780162559887</v>
      </c>
      <c r="AE10" s="84">
        <f t="shared" si="15"/>
        <v>2303.1443099073226</v>
      </c>
      <c r="AF10" s="17">
        <f t="shared" si="16"/>
        <v>4.0507527557182801E-2</v>
      </c>
      <c r="AG10" s="17">
        <f t="shared" si="17"/>
        <v>9.3527149390072159E-2</v>
      </c>
      <c r="AH10" s="17">
        <f t="shared" si="0"/>
        <v>8.7089576982466069E-2</v>
      </c>
      <c r="AI10" s="34">
        <f t="shared" si="18"/>
        <v>0.22104150967479383</v>
      </c>
      <c r="AJ10" s="34">
        <f t="shared" si="1"/>
        <v>1.7270939820216241E-2</v>
      </c>
      <c r="AK10">
        <f t="shared" si="19"/>
        <v>2.9657924057563427</v>
      </c>
      <c r="AL10">
        <f t="shared" si="2"/>
        <v>4.3418903266215198E-4</v>
      </c>
      <c r="AM10">
        <f t="shared" si="3"/>
        <v>24.686769603213659</v>
      </c>
      <c r="AN10">
        <f t="shared" si="4"/>
        <v>10.692082529205678</v>
      </c>
      <c r="AO10">
        <f t="shared" si="5"/>
        <v>11.482430328044103</v>
      </c>
      <c r="AP10">
        <f t="shared" si="6"/>
        <v>4.5240371433910527</v>
      </c>
      <c r="AQ10">
        <f t="shared" si="7"/>
        <v>57.900728646478456</v>
      </c>
      <c r="AR10" s="17">
        <f>IF(X10&gt;'cash outliers'!$D$19,'cash outliers'!$D$19,Dataset!X10)</f>
        <v>8.1898146063762205</v>
      </c>
      <c r="AS10" s="17">
        <f>IF(Y10&gt;'cash outliers'!$I$19,'cash outliers'!$I$19,Dataset!Y10)</f>
        <v>9.9933323471210098</v>
      </c>
      <c r="AT10" s="17">
        <f>IF(Z10&gt;'cash outliers'!$N$19,'cash outliers'!$N$19,Dataset!Z10)</f>
        <v>10.006405198911164</v>
      </c>
    </row>
    <row r="11" spans="1:50" s="8" customFormat="1" outlineLevel="1" x14ac:dyDescent="0.25">
      <c r="A11" s="8" t="s">
        <v>252</v>
      </c>
      <c r="B11" s="8" t="s">
        <v>204</v>
      </c>
      <c r="C11" s="8">
        <v>2015</v>
      </c>
      <c r="D11" s="12">
        <f>(7630793+2544440)</f>
        <v>10175233</v>
      </c>
      <c r="E11" s="12">
        <f>D11+5475975</f>
        <v>15651208</v>
      </c>
      <c r="F11" s="12">
        <f>E11+(230665+76430+51185+33098+122136)</f>
        <v>16164722</v>
      </c>
      <c r="G11" s="12">
        <f t="shared" si="21"/>
        <v>5467457</v>
      </c>
      <c r="H11" s="12">
        <v>22678332</v>
      </c>
      <c r="I11" s="12">
        <f>-7891221</f>
        <v>-7891221</v>
      </c>
      <c r="J11" s="12">
        <f>K11-(I11+20926469)</f>
        <v>5214753</v>
      </c>
      <c r="K11" s="13">
        <f>18250001</f>
        <v>18250001</v>
      </c>
      <c r="L11" s="12">
        <f>47583767</f>
        <v>47583767</v>
      </c>
      <c r="M11" s="13">
        <f>28145789</f>
        <v>28145789</v>
      </c>
      <c r="N11" s="14">
        <f>(9769658+5235481+1167421+2998974)*1000</f>
        <v>19171534000</v>
      </c>
      <c r="O11" s="15">
        <f>48297179*1000</f>
        <v>48297179000</v>
      </c>
      <c r="P11" s="14">
        <f>46159376*1000</f>
        <v>46159376000</v>
      </c>
      <c r="Q11" s="53">
        <f>H11*1000</f>
        <v>22678332000</v>
      </c>
      <c r="R11" s="14">
        <f>2137803*1000</f>
        <v>2137803000</v>
      </c>
      <c r="S11" s="56">
        <v>10216251</v>
      </c>
      <c r="T11" s="36">
        <v>114819888987.58971</v>
      </c>
      <c r="U11" s="36">
        <v>16319719509</v>
      </c>
      <c r="V11" s="36">
        <v>14095984000</v>
      </c>
      <c r="W11" s="36">
        <v>414274158000</v>
      </c>
      <c r="X11" s="16">
        <f t="shared" si="8"/>
        <v>1.8610540512710023</v>
      </c>
      <c r="Y11" s="16">
        <f t="shared" si="9"/>
        <v>2.8626119967655894</v>
      </c>
      <c r="Z11" s="16">
        <f t="shared" si="10"/>
        <v>2.9565339059822509</v>
      </c>
      <c r="AA11" s="16">
        <f t="shared" si="11"/>
        <v>1.0463135160232668</v>
      </c>
      <c r="AB11" s="16">
        <f t="shared" si="12"/>
        <v>209.25513674243126</v>
      </c>
      <c r="AC11" s="16">
        <f t="shared" si="13"/>
        <v>-5.6247501380039963E-2</v>
      </c>
      <c r="AD11" s="16">
        <f t="shared" si="14"/>
        <v>0.47659808018141986</v>
      </c>
      <c r="AE11" s="84">
        <f t="shared" si="15"/>
        <v>2219.8291721689297</v>
      </c>
      <c r="AF11" s="17">
        <f t="shared" si="16"/>
        <v>4.627740743606798E-2</v>
      </c>
      <c r="AG11" s="17">
        <f t="shared" si="17"/>
        <v>0.11658264959891609</v>
      </c>
      <c r="AH11" s="17">
        <f t="shared" si="0"/>
        <v>0.11142229151546547</v>
      </c>
      <c r="AI11" s="34">
        <f t="shared" si="18"/>
        <v>0.27715918738911471</v>
      </c>
      <c r="AJ11" s="34">
        <f t="shared" si="1"/>
        <v>3.9393525263045737E-2</v>
      </c>
      <c r="AK11">
        <f t="shared" si="19"/>
        <v>2.0982040037159697</v>
      </c>
      <c r="AL11">
        <f t="shared" si="2"/>
        <v>4.5048511504285234E-4</v>
      </c>
      <c r="AM11">
        <f t="shared" si="3"/>
        <v>21.608816383707218</v>
      </c>
      <c r="AN11">
        <f t="shared" si="4"/>
        <v>8.5776057023951644</v>
      </c>
      <c r="AO11">
        <f t="shared" si="5"/>
        <v>8.9748647815343077</v>
      </c>
      <c r="AP11">
        <f t="shared" si="6"/>
        <v>3.6080348243915887</v>
      </c>
      <c r="AQ11">
        <f t="shared" si="7"/>
        <v>25.384882244546912</v>
      </c>
      <c r="AR11" s="17">
        <f>IF(X11&gt;'cash outliers'!$D$19,'cash outliers'!$D$19,Dataset!X11)</f>
        <v>1.8610540512710023</v>
      </c>
      <c r="AS11" s="17">
        <f>IF(Y11&gt;'cash outliers'!$I$19,'cash outliers'!$I$19,Dataset!Y11)</f>
        <v>2.8626119967655894</v>
      </c>
      <c r="AT11" s="17">
        <f>IF(Z11&gt;'cash outliers'!$N$19,'cash outliers'!$N$19,Dataset!Z11)</f>
        <v>2.9565339059822509</v>
      </c>
    </row>
    <row r="12" spans="1:50" s="8" customFormat="1" outlineLevel="1" x14ac:dyDescent="0.25">
      <c r="A12" s="8" t="s">
        <v>253</v>
      </c>
      <c r="B12" s="8" t="s">
        <v>205</v>
      </c>
      <c r="C12" s="8">
        <v>2015</v>
      </c>
      <c r="D12" s="12">
        <f>2079606+2381933</f>
        <v>4461539</v>
      </c>
      <c r="E12" s="12">
        <f>D12+(1485079)</f>
        <v>5946618</v>
      </c>
      <c r="F12" s="12">
        <f>E12+(288637+257+53816)</f>
        <v>6289328</v>
      </c>
      <c r="G12" s="12">
        <f t="shared" si="21"/>
        <v>1690979</v>
      </c>
      <c r="H12" s="12">
        <v>16864843</v>
      </c>
      <c r="I12" s="12">
        <f>-6384683</f>
        <v>-6384683</v>
      </c>
      <c r="J12" s="12">
        <f>K12-(I12+4600262)</f>
        <v>2673265</v>
      </c>
      <c r="K12" s="13">
        <f>888844</f>
        <v>888844</v>
      </c>
      <c r="L12" s="12">
        <f>19308612</f>
        <v>19308612</v>
      </c>
      <c r="M12" s="13">
        <f>18555822</f>
        <v>18555822</v>
      </c>
      <c r="N12" s="14">
        <f>(3021418+2073015+163481+202345+165137+88449+147767+125113+51941+19930+76222)*1000</f>
        <v>6134818000</v>
      </c>
      <c r="O12" s="14">
        <f>10802263*1000</f>
        <v>10802263000</v>
      </c>
      <c r="P12" s="14">
        <f>(10559030)*1000</f>
        <v>10559030000</v>
      </c>
      <c r="Q12" s="53">
        <f t="shared" si="20"/>
        <v>16864843000</v>
      </c>
      <c r="R12" s="14">
        <f>243233*1000</f>
        <v>243233000</v>
      </c>
      <c r="S12" s="56">
        <v>1431806</v>
      </c>
      <c r="T12" s="36">
        <v>33381841221.18306</v>
      </c>
      <c r="U12" s="36">
        <v>9065926000</v>
      </c>
      <c r="V12" s="36">
        <v>8112352000</v>
      </c>
      <c r="W12" s="36">
        <v>68373394000</v>
      </c>
      <c r="X12" s="16">
        <f t="shared" si="8"/>
        <v>2.63843548618877</v>
      </c>
      <c r="Y12" s="16">
        <f t="shared" si="9"/>
        <v>3.5166717031967871</v>
      </c>
      <c r="Z12" s="16">
        <f t="shared" si="10"/>
        <v>3.7193412809975759</v>
      </c>
      <c r="AA12" s="16">
        <f t="shared" si="11"/>
        <v>1.0230355439846275</v>
      </c>
      <c r="AB12" s="16">
        <f t="shared" si="12"/>
        <v>169.87846118817774</v>
      </c>
      <c r="AC12" s="16">
        <f t="shared" si="13"/>
        <v>-0.19221568075426654</v>
      </c>
      <c r="AD12" s="16">
        <f t="shared" si="14"/>
        <v>0.87343631950344225</v>
      </c>
      <c r="AE12" s="84">
        <f t="shared" si="15"/>
        <v>11778.720720544543</v>
      </c>
      <c r="AF12" s="17">
        <f t="shared" si="16"/>
        <v>8.9725222650202205E-2</v>
      </c>
      <c r="AG12" s="17">
        <f t="shared" si="17"/>
        <v>0.15798927577004587</v>
      </c>
      <c r="AH12" s="17">
        <f t="shared" si="0"/>
        <v>0.15443185400449772</v>
      </c>
      <c r="AI12" s="34">
        <f t="shared" si="18"/>
        <v>0.48822852381999726</v>
      </c>
      <c r="AJ12" s="34">
        <f t="shared" si="1"/>
        <v>0.13259435387981472</v>
      </c>
      <c r="AK12">
        <f t="shared" si="19"/>
        <v>1.1449031574145103</v>
      </c>
      <c r="AL12">
        <f t="shared" si="2"/>
        <v>8.4898863274327551E-5</v>
      </c>
      <c r="AM12">
        <f t="shared" si="3"/>
        <v>11.145138127977065</v>
      </c>
      <c r="AN12">
        <f t="shared" si="4"/>
        <v>6.3295435410154335</v>
      </c>
      <c r="AO12">
        <f t="shared" si="5"/>
        <v>6.4753480196571083</v>
      </c>
      <c r="AP12">
        <f t="shared" si="6"/>
        <v>2.0482211735107172</v>
      </c>
      <c r="AQ12">
        <f t="shared" si="7"/>
        <v>7.5417992602189781</v>
      </c>
      <c r="AR12" s="17">
        <f>IF(X12&gt;'cash outliers'!$D$19,'cash outliers'!$D$19,Dataset!X12)</f>
        <v>2.63843548618877</v>
      </c>
      <c r="AS12" s="17">
        <f>IF(Y12&gt;'cash outliers'!$I$19,'cash outliers'!$I$19,Dataset!Y12)</f>
        <v>3.5166717031967871</v>
      </c>
      <c r="AT12" s="17">
        <f>IF(Z12&gt;'cash outliers'!$N$19,'cash outliers'!$N$19,Dataset!Z12)</f>
        <v>3.7193412809975759</v>
      </c>
    </row>
    <row r="13" spans="1:50" s="8" customFormat="1" outlineLevel="1" x14ac:dyDescent="0.25">
      <c r="A13" s="8" t="s">
        <v>254</v>
      </c>
      <c r="B13" s="8" t="s">
        <v>65</v>
      </c>
      <c r="C13" s="8">
        <v>2015</v>
      </c>
      <c r="D13" s="12">
        <f>(541010+1739534+2312280)</f>
        <v>4592824</v>
      </c>
      <c r="E13" s="12">
        <f>D13+(256161+631011+364568)</f>
        <v>5844564</v>
      </c>
      <c r="F13" s="12">
        <f>E13+(268286+317581+86037+1647+30483)</f>
        <v>6548598</v>
      </c>
      <c r="G13" s="12">
        <f t="shared" si="21"/>
        <v>1196190</v>
      </c>
      <c r="H13" s="12">
        <v>1844547</v>
      </c>
      <c r="I13" s="12">
        <f>1186584</f>
        <v>1186584</v>
      </c>
      <c r="J13" s="12">
        <f>K13-(I13+6416298)</f>
        <v>4107467</v>
      </c>
      <c r="K13" s="13">
        <v>11710349</v>
      </c>
      <c r="L13" s="12">
        <f>14892701</f>
        <v>14892701</v>
      </c>
      <c r="M13" s="13">
        <f>3040737</f>
        <v>3040737</v>
      </c>
      <c r="N13" s="14">
        <f>(1444781+1686455+243826+220442)*1000</f>
        <v>3595504000</v>
      </c>
      <c r="O13" s="14">
        <f>8836892*1000</f>
        <v>8836892000</v>
      </c>
      <c r="P13" s="14">
        <f>8063566*1000</f>
        <v>8063566000</v>
      </c>
      <c r="Q13" s="53">
        <f t="shared" si="20"/>
        <v>1844547000</v>
      </c>
      <c r="R13" s="14">
        <f>773326*1000</f>
        <v>773326000</v>
      </c>
      <c r="S13" s="56">
        <v>1655167</v>
      </c>
      <c r="T13" s="36">
        <v>15477253663.625292</v>
      </c>
      <c r="U13" s="36">
        <v>107855000</v>
      </c>
      <c r="V13" s="36">
        <v>1329908000</v>
      </c>
      <c r="W13" s="36">
        <v>62082853000</v>
      </c>
      <c r="X13" s="16">
        <f t="shared" si="8"/>
        <v>3.839543885168744</v>
      </c>
      <c r="Y13" s="16">
        <f t="shared" si="9"/>
        <v>4.8859829960123395</v>
      </c>
      <c r="Z13" s="16">
        <f t="shared" si="10"/>
        <v>5.4745466857271836</v>
      </c>
      <c r="AA13" s="16">
        <f t="shared" si="11"/>
        <v>1.0959037229930282</v>
      </c>
      <c r="AB13" s="16">
        <f t="shared" si="12"/>
        <v>467.21931986319203</v>
      </c>
      <c r="AC13" s="16">
        <f t="shared" si="13"/>
        <v>0.35547957351725518</v>
      </c>
      <c r="AD13" s="16">
        <f t="shared" si="14"/>
        <v>0.12385577337515874</v>
      </c>
      <c r="AE13" s="84">
        <f t="shared" si="15"/>
        <v>1114.4174575737675</v>
      </c>
      <c r="AF13" s="17">
        <f t="shared" si="16"/>
        <v>5.7914606469519049E-2</v>
      </c>
      <c r="AG13" s="17">
        <f t="shared" si="17"/>
        <v>0.14234030127449201</v>
      </c>
      <c r="AH13" s="17">
        <f t="shared" si="0"/>
        <v>0.1298839471826464</v>
      </c>
      <c r="AI13" s="34">
        <f t="shared" si="18"/>
        <v>0.24929997440074625</v>
      </c>
      <c r="AJ13" s="34">
        <f t="shared" si="1"/>
        <v>1.7372751861129835E-3</v>
      </c>
      <c r="AK13">
        <f t="shared" si="19"/>
        <v>8.0739070351690696</v>
      </c>
      <c r="AL13">
        <f t="shared" si="2"/>
        <v>8.9732980509577692E-4</v>
      </c>
      <c r="AM13">
        <f t="shared" si="3"/>
        <v>17.266801260685568</v>
      </c>
      <c r="AN13">
        <f t="shared" si="4"/>
        <v>7.025417194189993</v>
      </c>
      <c r="AO13">
        <f t="shared" si="5"/>
        <v>7.6991808586920474</v>
      </c>
      <c r="AP13">
        <f t="shared" si="6"/>
        <v>4.0112318599460179</v>
      </c>
      <c r="AQ13">
        <f t="shared" si="7"/>
        <v>575.61404663668816</v>
      </c>
      <c r="AR13" s="17">
        <f>IF(X13&gt;'cash outliers'!$D$19,'cash outliers'!$D$19,Dataset!X13)</f>
        <v>3.839543885168744</v>
      </c>
      <c r="AS13" s="17">
        <f>IF(Y13&gt;'cash outliers'!$I$19,'cash outliers'!$I$19,Dataset!Y13)</f>
        <v>4.8859829960123395</v>
      </c>
      <c r="AT13" s="17">
        <f>IF(Z13&gt;'cash outliers'!$N$19,'cash outliers'!$N$19,Dataset!Z13)</f>
        <v>5.4745466857271836</v>
      </c>
    </row>
    <row r="14" spans="1:50" s="8" customFormat="1" outlineLevel="1" x14ac:dyDescent="0.25">
      <c r="A14" s="8" t="s">
        <v>255</v>
      </c>
      <c r="B14" s="8" t="s">
        <v>67</v>
      </c>
      <c r="C14" s="8">
        <v>2015</v>
      </c>
      <c r="D14" s="12">
        <f>(8180431+368815+1410481)</f>
        <v>9959727</v>
      </c>
      <c r="E14" s="12">
        <f>D14+(2580244+3451031+1148827+1191960)</f>
        <v>18331789</v>
      </c>
      <c r="F14" s="12">
        <f>E14+1634610+3727673+4125+466430+109285+27582+5082+1191960+15184</f>
        <v>25513720</v>
      </c>
      <c r="G14" s="12">
        <f t="shared" si="21"/>
        <v>19003394</v>
      </c>
      <c r="H14" s="12">
        <v>155860934</v>
      </c>
      <c r="I14" s="12">
        <f>-144850501</f>
        <v>-144850501</v>
      </c>
      <c r="J14" s="12">
        <f>K14-(I14+15186303)</f>
        <v>8681376</v>
      </c>
      <c r="K14" s="13">
        <f>-120982822</f>
        <v>-120982822</v>
      </c>
      <c r="L14" s="12">
        <f>49175491</f>
        <v>49175491</v>
      </c>
      <c r="M14" s="13">
        <f>(174864328)</f>
        <v>174864328</v>
      </c>
      <c r="N14" s="14">
        <f>(19881531+10997205+1292178+1460558+498309+1400813+2843428)*1000</f>
        <v>38374022000</v>
      </c>
      <c r="O14" s="15">
        <f>71474*1000000</f>
        <v>71474000000</v>
      </c>
      <c r="P14" s="14">
        <f>74830650*1000</f>
        <v>74830650000</v>
      </c>
      <c r="Q14" s="53">
        <f t="shared" si="20"/>
        <v>155860934000</v>
      </c>
      <c r="R14" s="14">
        <f>-355672*1000</f>
        <v>-355672000</v>
      </c>
      <c r="S14" s="56">
        <v>12861699</v>
      </c>
      <c r="T14" s="36">
        <v>344845943318.57819</v>
      </c>
      <c r="U14" s="36">
        <v>52430751000</v>
      </c>
      <c r="V14" s="36">
        <v>32537089000</v>
      </c>
      <c r="W14" s="36">
        <v>636280652000</v>
      </c>
      <c r="X14" s="16">
        <f t="shared" si="8"/>
        <v>0.52410253663108808</v>
      </c>
      <c r="Y14" s="16">
        <f t="shared" si="9"/>
        <v>0.96465868149657896</v>
      </c>
      <c r="Z14" s="16">
        <f t="shared" si="10"/>
        <v>1.3425875398889273</v>
      </c>
      <c r="AA14" s="16">
        <f t="shared" si="11"/>
        <v>0.9551433804196543</v>
      </c>
      <c r="AB14" s="16">
        <f t="shared" si="12"/>
        <v>-27.653578271424326</v>
      </c>
      <c r="AC14" s="16">
        <f t="shared" si="13"/>
        <v>-2.7690445429411166</v>
      </c>
      <c r="AD14" s="16">
        <f t="shared" si="14"/>
        <v>3.1694840423657387</v>
      </c>
      <c r="AE14" s="84">
        <f t="shared" si="15"/>
        <v>12118.222794671217</v>
      </c>
      <c r="AF14" s="17">
        <f t="shared" si="16"/>
        <v>6.0309899223526919E-2</v>
      </c>
      <c r="AG14" s="17">
        <f t="shared" si="17"/>
        <v>0.11233093411741836</v>
      </c>
      <c r="AH14" s="17">
        <f t="shared" si="0"/>
        <v>0.11760635776804981</v>
      </c>
      <c r="AI14" s="34">
        <f t="shared" si="18"/>
        <v>0.54197144331614566</v>
      </c>
      <c r="AJ14" s="34">
        <f t="shared" si="1"/>
        <v>8.240192568357399E-2</v>
      </c>
      <c r="AK14">
        <f t="shared" si="19"/>
        <v>0.31550876629547209</v>
      </c>
      <c r="AL14">
        <f t="shared" si="2"/>
        <v>8.2520351122751509E-5</v>
      </c>
      <c r="AM14">
        <f t="shared" si="3"/>
        <v>16.581025882561907</v>
      </c>
      <c r="AN14">
        <f t="shared" si="4"/>
        <v>8.9022672860061007</v>
      </c>
      <c r="AO14">
        <f t="shared" si="5"/>
        <v>8.5029416689551667</v>
      </c>
      <c r="AP14">
        <f t="shared" si="6"/>
        <v>1.8451156649164533</v>
      </c>
      <c r="AQ14">
        <f t="shared" si="7"/>
        <v>12.135638720872031</v>
      </c>
      <c r="AR14" s="17">
        <f>IF(X14&gt;'cash outliers'!$D$19,'cash outliers'!$D$19,Dataset!X14)</f>
        <v>0.52410253663108808</v>
      </c>
      <c r="AS14" s="17">
        <f>IF(Y14&gt;'cash outliers'!$I$19,'cash outliers'!$I$19,Dataset!Y14)</f>
        <v>0.96465868149657896</v>
      </c>
      <c r="AT14" s="17">
        <f>IF(Z14&gt;'cash outliers'!$N$19,'cash outliers'!$N$19,Dataset!Z14)</f>
        <v>1.3425875398889273</v>
      </c>
    </row>
    <row r="15" spans="1:50" s="8" customFormat="1" outlineLevel="1" x14ac:dyDescent="0.25">
      <c r="A15" s="8" t="s">
        <v>256</v>
      </c>
      <c r="B15" s="8" t="s">
        <v>70</v>
      </c>
      <c r="C15" s="8">
        <v>2015</v>
      </c>
      <c r="D15" s="12">
        <f>(6758037)</f>
        <v>6758037</v>
      </c>
      <c r="E15" s="12">
        <f>D15+(3027097)</f>
        <v>9785134</v>
      </c>
      <c r="F15" s="12">
        <f>E15+1426173+13143+4068+99289+403615+33582+567</f>
        <v>11765571</v>
      </c>
      <c r="G15" s="12">
        <f t="shared" si="21"/>
        <v>3841590</v>
      </c>
      <c r="H15" s="12">
        <v>13045906</v>
      </c>
      <c r="I15" s="12">
        <f>-4053701</f>
        <v>-4053701</v>
      </c>
      <c r="J15" s="12">
        <f>K15-(I15+14316071)</f>
        <v>998591</v>
      </c>
      <c r="K15" s="13">
        <f>11260961</f>
        <v>11260961</v>
      </c>
      <c r="L15" s="12">
        <f>27539929</f>
        <v>27539929</v>
      </c>
      <c r="M15" s="13">
        <v>16887496</v>
      </c>
      <c r="N15" s="14">
        <f>16082203*1000</f>
        <v>16082203000</v>
      </c>
      <c r="O15" s="14">
        <f>31714.8*1000000</f>
        <v>31714800000</v>
      </c>
      <c r="P15" s="14">
        <f>29827270*1000</f>
        <v>29827270000</v>
      </c>
      <c r="Q15" s="53">
        <f t="shared" si="20"/>
        <v>13045906000</v>
      </c>
      <c r="R15" s="14">
        <f>1887630*1000</f>
        <v>1887630000</v>
      </c>
      <c r="S15" s="56">
        <v>6620432</v>
      </c>
      <c r="T15" s="36">
        <v>53667951630.411667</v>
      </c>
      <c r="U15" s="36">
        <v>299404000</v>
      </c>
      <c r="V15" s="36">
        <v>1057910000</v>
      </c>
      <c r="W15" s="36">
        <v>271425899000</v>
      </c>
      <c r="X15" s="16">
        <f t="shared" si="8"/>
        <v>1.7591770594988012</v>
      </c>
      <c r="Y15" s="16">
        <f t="shared" si="9"/>
        <v>2.5471572968484404</v>
      </c>
      <c r="Z15" s="16">
        <f t="shared" si="10"/>
        <v>3.0626826392196982</v>
      </c>
      <c r="AA15" s="16">
        <f t="shared" si="11"/>
        <v>1.0632820234637632</v>
      </c>
      <c r="AB15" s="16">
        <f t="shared" si="12"/>
        <v>285.12187724305602</v>
      </c>
      <c r="AC15" s="16">
        <f t="shared" si="13"/>
        <v>-0.11093383719326219</v>
      </c>
      <c r="AD15" s="16">
        <f t="shared" si="14"/>
        <v>0.47370877390424643</v>
      </c>
      <c r="AE15" s="84">
        <f t="shared" si="15"/>
        <v>1970.5520727348305</v>
      </c>
      <c r="AF15" s="17">
        <f t="shared" si="16"/>
        <v>5.9250804949899052E-2</v>
      </c>
      <c r="AG15" s="17">
        <f t="shared" si="17"/>
        <v>0.11684515043275218</v>
      </c>
      <c r="AH15" s="17">
        <f t="shared" si="0"/>
        <v>0.10989102406915119</v>
      </c>
      <c r="AI15" s="34">
        <f t="shared" si="18"/>
        <v>0.1977259790909329</v>
      </c>
      <c r="AJ15" s="34">
        <f t="shared" si="1"/>
        <v>1.1030782290970694E-3</v>
      </c>
      <c r="AK15">
        <f t="shared" si="19"/>
        <v>2.1110016429675333</v>
      </c>
      <c r="AL15">
        <f t="shared" si="2"/>
        <v>5.0747199926168415E-4</v>
      </c>
      <c r="AM15">
        <f t="shared" si="3"/>
        <v>16.877407840206967</v>
      </c>
      <c r="AN15">
        <f t="shared" si="4"/>
        <v>8.5583355089737285</v>
      </c>
      <c r="AO15">
        <f t="shared" si="5"/>
        <v>9.0999242974633621</v>
      </c>
      <c r="AP15">
        <f t="shared" si="6"/>
        <v>5.0575043532347692</v>
      </c>
      <c r="AQ15">
        <f t="shared" si="7"/>
        <v>906.55401731439792</v>
      </c>
      <c r="AR15" s="17">
        <f>IF(X15&gt;'cash outliers'!$D$19,'cash outliers'!$D$19,Dataset!X15)</f>
        <v>1.7591770594988012</v>
      </c>
      <c r="AS15" s="17">
        <f>IF(Y15&gt;'cash outliers'!$I$19,'cash outliers'!$I$19,Dataset!Y15)</f>
        <v>2.5471572968484404</v>
      </c>
      <c r="AT15" s="17">
        <f>IF(Z15&gt;'cash outliers'!$N$19,'cash outliers'!$N$19,Dataset!Z15)</f>
        <v>3.0626826392196982</v>
      </c>
    </row>
    <row r="16" spans="1:50" outlineLevel="1" x14ac:dyDescent="0.25">
      <c r="A16" t="s">
        <v>257</v>
      </c>
      <c r="B16" s="8" t="s">
        <v>73</v>
      </c>
      <c r="C16" s="8">
        <v>2015</v>
      </c>
      <c r="D16" s="12">
        <f>(4005341)</f>
        <v>4005341</v>
      </c>
      <c r="E16" s="12">
        <f>D16+2600277+2860+11620</f>
        <v>6620098</v>
      </c>
      <c r="F16" s="12">
        <v>6897134</v>
      </c>
      <c r="G16" s="12">
        <f>2832408</f>
        <v>2832408</v>
      </c>
      <c r="H16" s="12">
        <v>4973827</v>
      </c>
      <c r="I16" s="12">
        <f>1346212</f>
        <v>1346212</v>
      </c>
      <c r="J16" s="12">
        <f>K16-(I16+11585378)</f>
        <v>2569696</v>
      </c>
      <c r="K16" s="13">
        <f>15501286</f>
        <v>15501286</v>
      </c>
      <c r="L16" s="12">
        <f>23453811</f>
        <v>23453811</v>
      </c>
      <c r="M16" s="13">
        <f>7806235</f>
        <v>7806235</v>
      </c>
      <c r="N16" s="14">
        <f>(3456503+464121+2670084+779467)*1000</f>
        <v>7370175000</v>
      </c>
      <c r="O16" s="15">
        <f>20968.5*1000000</f>
        <v>20968500000</v>
      </c>
      <c r="P16" s="14">
        <f>20410046*1000</f>
        <v>20410046000</v>
      </c>
      <c r="Q16" s="53">
        <f>H16*1000</f>
        <v>4973827000</v>
      </c>
      <c r="R16" s="14">
        <f>558504*1000</f>
        <v>558504000</v>
      </c>
      <c r="S16" s="56">
        <v>3124287</v>
      </c>
      <c r="T16" s="36">
        <v>43695820860.849426</v>
      </c>
      <c r="U16" s="36">
        <v>630200000</v>
      </c>
      <c r="V16" s="36">
        <v>3679039000</v>
      </c>
      <c r="W16" s="36">
        <v>140500814000</v>
      </c>
      <c r="X16" s="16">
        <f t="shared" si="8"/>
        <v>1.4141115969168283</v>
      </c>
      <c r="Y16" s="16">
        <f t="shared" si="9"/>
        <v>2.3372685008656946</v>
      </c>
      <c r="Z16" s="16">
        <f t="shared" si="10"/>
        <v>2.4350778560150941</v>
      </c>
      <c r="AA16" s="16">
        <f t="shared" si="11"/>
        <v>1.0273617217717197</v>
      </c>
      <c r="AB16" s="16">
        <f t="shared" si="12"/>
        <v>178.76206635305911</v>
      </c>
      <c r="AC16" s="16">
        <f t="shared" si="13"/>
        <v>0.16696254608685984</v>
      </c>
      <c r="AD16" s="16">
        <f t="shared" si="14"/>
        <v>0.21206903219267861</v>
      </c>
      <c r="AE16" s="84">
        <f t="shared" si="15"/>
        <v>1591.987867951952</v>
      </c>
      <c r="AF16" s="17">
        <f t="shared" si="16"/>
        <v>5.245645765440192E-2</v>
      </c>
      <c r="AG16" s="17">
        <f t="shared" si="17"/>
        <v>0.14924112824001148</v>
      </c>
      <c r="AH16" s="17">
        <f t="shared" si="0"/>
        <v>0.14526638970219774</v>
      </c>
      <c r="AI16" s="34">
        <f t="shared" si="18"/>
        <v>0.31100048189649226</v>
      </c>
      <c r="AJ16" s="34">
        <f t="shared" si="1"/>
        <v>4.4853832661780882E-3</v>
      </c>
      <c r="AK16">
        <f t="shared" si="19"/>
        <v>4.7154456719142024</v>
      </c>
      <c r="AL16">
        <f t="shared" si="2"/>
        <v>6.2814549038396389E-4</v>
      </c>
      <c r="AM16">
        <f t="shared" si="3"/>
        <v>19.063429837147691</v>
      </c>
      <c r="AN16">
        <f t="shared" si="4"/>
        <v>6.7005658010825764</v>
      </c>
      <c r="AO16">
        <f t="shared" si="5"/>
        <v>6.8839048182448979</v>
      </c>
      <c r="AP16">
        <f t="shared" si="6"/>
        <v>3.2154291012732958</v>
      </c>
      <c r="AQ16">
        <f t="shared" si="7"/>
        <v>222.94638844811169</v>
      </c>
      <c r="AR16" s="17">
        <f>IF(X16&gt;'cash outliers'!$D$19,'cash outliers'!$D$19,Dataset!X16)</f>
        <v>1.4141115969168283</v>
      </c>
      <c r="AS16" s="17">
        <f>IF(Y16&gt;'cash outliers'!$I$19,'cash outliers'!$I$19,Dataset!Y16)</f>
        <v>2.3372685008656946</v>
      </c>
      <c r="AT16" s="17">
        <f>IF(Z16&gt;'cash outliers'!$N$19,'cash outliers'!$N$19,Dataset!Z16)</f>
        <v>2.4350778560150941</v>
      </c>
    </row>
    <row r="17" spans="1:46" outlineLevel="1" x14ac:dyDescent="0.25">
      <c r="A17" t="s">
        <v>258</v>
      </c>
      <c r="B17" s="8" t="s">
        <v>75</v>
      </c>
      <c r="C17" s="8">
        <v>2015</v>
      </c>
      <c r="D17" s="12">
        <f>1514362+282816</f>
        <v>1797178</v>
      </c>
      <c r="E17" s="12">
        <f>D17+1625564</f>
        <v>3422742</v>
      </c>
      <c r="F17" s="12">
        <f>E17+38367</f>
        <v>3461109</v>
      </c>
      <c r="G17" s="12">
        <f>M17-H17</f>
        <v>1474535</v>
      </c>
      <c r="H17" s="12">
        <v>6195418</v>
      </c>
      <c r="I17" s="12">
        <f>-2048124</f>
        <v>-2048124</v>
      </c>
      <c r="J17" s="12">
        <f>K17-(I17+9664687)</f>
        <v>2132165</v>
      </c>
      <c r="K17" s="13">
        <f>9748728</f>
        <v>9748728</v>
      </c>
      <c r="L17" s="12">
        <f>17536372</f>
        <v>17536372</v>
      </c>
      <c r="M17" s="13">
        <f>7669953</f>
        <v>7669953</v>
      </c>
      <c r="N17" s="14">
        <f>(644964+2864790+3607478+215145)*1000</f>
        <v>7332377000</v>
      </c>
      <c r="O17" s="14">
        <f>13644559*1000</f>
        <v>13644559000</v>
      </c>
      <c r="P17" s="14">
        <f>13865063*1000</f>
        <v>13865063000</v>
      </c>
      <c r="Q17" s="53">
        <f t="shared" si="20"/>
        <v>6195418000</v>
      </c>
      <c r="R17" s="14">
        <f>-220504*1000</f>
        <v>-220504000</v>
      </c>
      <c r="S17" s="56">
        <v>2912013</v>
      </c>
      <c r="T17" s="36">
        <v>38680862165.395256</v>
      </c>
      <c r="U17" s="36">
        <v>213937000</v>
      </c>
      <c r="V17" s="37">
        <v>3699167000</v>
      </c>
      <c r="W17" s="36">
        <v>133590648000</v>
      </c>
      <c r="X17" s="16">
        <f t="shared" si="8"/>
        <v>1.2188099977280973</v>
      </c>
      <c r="Y17" s="16">
        <f t="shared" si="9"/>
        <v>2.3212348299633443</v>
      </c>
      <c r="Z17" s="16">
        <f t="shared" si="10"/>
        <v>2.3472545582166582</v>
      </c>
      <c r="AA17" s="16">
        <f t="shared" si="11"/>
        <v>0.98409642999819047</v>
      </c>
      <c r="AB17" s="16">
        <f t="shared" si="12"/>
        <v>-75.722189427038956</v>
      </c>
      <c r="AC17" s="16">
        <f t="shared" si="13"/>
        <v>4.7923823696258269E-3</v>
      </c>
      <c r="AD17" s="16">
        <f t="shared" si="14"/>
        <v>0.35328960859178854</v>
      </c>
      <c r="AE17" s="84">
        <f t="shared" si="15"/>
        <v>2127.5378921728716</v>
      </c>
      <c r="AF17" s="17">
        <f t="shared" si="16"/>
        <v>5.4886903460487746E-2</v>
      </c>
      <c r="AG17" s="17">
        <f t="shared" si="17"/>
        <v>0.10213708223048668</v>
      </c>
      <c r="AH17" s="17">
        <f t="shared" si="0"/>
        <v>0.10378767681402369</v>
      </c>
      <c r="AI17" s="34">
        <f t="shared" si="18"/>
        <v>0.28954767975521201</v>
      </c>
      <c r="AJ17" s="34">
        <f t="shared" si="1"/>
        <v>1.6014369508859632E-3</v>
      </c>
      <c r="AK17">
        <f t="shared" si="19"/>
        <v>2.8305389563706598</v>
      </c>
      <c r="AL17">
        <f t="shared" si="2"/>
        <v>4.7002688115636425E-4</v>
      </c>
      <c r="AM17">
        <f t="shared" si="3"/>
        <v>18.219282505523104</v>
      </c>
      <c r="AN17">
        <f t="shared" si="4"/>
        <v>9.7907633365065152</v>
      </c>
      <c r="AO17">
        <f t="shared" si="5"/>
        <v>9.6350552464132324</v>
      </c>
      <c r="AP17">
        <f t="shared" si="6"/>
        <v>3.4536626259461487</v>
      </c>
      <c r="AQ17">
        <f t="shared" si="7"/>
        <v>624.43919471620154</v>
      </c>
      <c r="AR17" s="17">
        <f>IF(X17&gt;'cash outliers'!$D$19,'cash outliers'!$D$19,Dataset!X17)</f>
        <v>1.2188099977280973</v>
      </c>
      <c r="AS17" s="17">
        <f>IF(Y17&gt;'cash outliers'!$I$19,'cash outliers'!$I$19,Dataset!Y17)</f>
        <v>2.3212348299633443</v>
      </c>
      <c r="AT17" s="17">
        <f>IF(Z17&gt;'cash outliers'!$N$19,'cash outliers'!$N$19,Dataset!Z17)</f>
        <v>2.3472545582166582</v>
      </c>
    </row>
    <row r="18" spans="1:46" outlineLevel="2" x14ac:dyDescent="0.25">
      <c r="A18" t="s">
        <v>259</v>
      </c>
      <c r="B18" s="8" t="s">
        <v>77</v>
      </c>
      <c r="C18" s="8">
        <v>2015</v>
      </c>
      <c r="D18" s="12">
        <f>(1021317+78028+1494290)</f>
        <v>2593635</v>
      </c>
      <c r="E18" s="12">
        <f>D18+2696099+5681+149310</f>
        <v>5444725</v>
      </c>
      <c r="F18" s="12">
        <f>6911689</f>
        <v>6911689</v>
      </c>
      <c r="G18" s="12">
        <f>M18-H18</f>
        <v>3094831</v>
      </c>
      <c r="H18" s="12">
        <v>40931581</v>
      </c>
      <c r="I18" s="12">
        <f>-36818269</f>
        <v>-36818269</v>
      </c>
      <c r="J18" s="12">
        <f>K18-(I18+21592143)</f>
        <v>1196858</v>
      </c>
      <c r="K18" s="13">
        <f>-14029268</f>
        <v>-14029268</v>
      </c>
      <c r="L18" s="12">
        <f>30765144</f>
        <v>30765144</v>
      </c>
      <c r="M18" s="13">
        <f>44026412</f>
        <v>44026412</v>
      </c>
      <c r="N18" s="14">
        <f>(5714300+4064705+540132+570998+13742+235068+52616+190700)*1000</f>
        <v>11382261000</v>
      </c>
      <c r="O18" s="14">
        <f>25980845*1000</f>
        <v>25980845000</v>
      </c>
      <c r="P18" s="14">
        <f>25440369*1000</f>
        <v>25440369000</v>
      </c>
      <c r="Q18" s="53">
        <f t="shared" si="20"/>
        <v>40931581000</v>
      </c>
      <c r="R18" s="14">
        <f>540476*1000</f>
        <v>540476000</v>
      </c>
      <c r="S18" s="56">
        <v>4425592</v>
      </c>
      <c r="T18" s="36">
        <v>91524044155.417374</v>
      </c>
      <c r="U18" s="36">
        <v>5931473725</v>
      </c>
      <c r="V18" s="36">
        <v>7706270000</v>
      </c>
      <c r="W18" s="36">
        <v>172550404000</v>
      </c>
      <c r="X18" s="16">
        <f t="shared" si="8"/>
        <v>0.8380538388041221</v>
      </c>
      <c r="Y18" s="16">
        <f t="shared" si="9"/>
        <v>1.7592963880741792</v>
      </c>
      <c r="Z18" s="16">
        <f t="shared" si="10"/>
        <v>2.2333009459967279</v>
      </c>
      <c r="AA18" s="16">
        <f t="shared" si="11"/>
        <v>1.0212448176360964</v>
      </c>
      <c r="AB18" s="16">
        <f t="shared" si="12"/>
        <v>122.12513037803755</v>
      </c>
      <c r="AC18" s="16">
        <f t="shared" si="13"/>
        <v>-1.1578496430895953</v>
      </c>
      <c r="AD18" s="16">
        <f t="shared" si="14"/>
        <v>1.3304530932798495</v>
      </c>
      <c r="AE18" s="84">
        <f t="shared" si="15"/>
        <v>9248.8374436685535</v>
      </c>
      <c r="AF18" s="17">
        <f t="shared" si="16"/>
        <v>6.596484700203889E-2</v>
      </c>
      <c r="AG18" s="17">
        <f t="shared" si="17"/>
        <v>0.15056959820273733</v>
      </c>
      <c r="AH18" s="17">
        <f t="shared" si="0"/>
        <v>0.14743731924267184</v>
      </c>
      <c r="AI18" s="34">
        <f t="shared" si="18"/>
        <v>0.53041918206935856</v>
      </c>
      <c r="AJ18" s="34">
        <f t="shared" si="1"/>
        <v>3.4375310561428764E-2</v>
      </c>
      <c r="AK18">
        <f t="shared" si="19"/>
        <v>0.75162364238996771</v>
      </c>
      <c r="AL18">
        <f t="shared" si="2"/>
        <v>1.0812169703388686E-4</v>
      </c>
      <c r="AM18">
        <f t="shared" si="3"/>
        <v>15.15958946996559</v>
      </c>
      <c r="AN18">
        <f t="shared" si="4"/>
        <v>6.6414469583264131</v>
      </c>
      <c r="AO18">
        <f t="shared" si="5"/>
        <v>6.7825432877958649</v>
      </c>
      <c r="AP18">
        <f t="shared" si="6"/>
        <v>1.8853013499599232</v>
      </c>
      <c r="AQ18">
        <f t="shared" si="7"/>
        <v>29.090646271049611</v>
      </c>
      <c r="AR18" s="17">
        <f>IF(X18&gt;'cash outliers'!$D$19,'cash outliers'!$D$19,Dataset!X18)</f>
        <v>0.8380538388041221</v>
      </c>
      <c r="AS18" s="17">
        <f>IF(Y18&gt;'cash outliers'!$I$19,'cash outliers'!$I$19,Dataset!Y18)</f>
        <v>1.7592963880741792</v>
      </c>
      <c r="AT18" s="17">
        <f>IF(Z18&gt;'cash outliers'!$N$19,'cash outliers'!$N$19,Dataset!Z18)</f>
        <v>2.2333009459967279</v>
      </c>
    </row>
    <row r="19" spans="1:46" s="8" customFormat="1" outlineLevel="2" x14ac:dyDescent="0.25">
      <c r="A19" s="8" t="s">
        <v>289</v>
      </c>
      <c r="B19" s="8" t="s">
        <v>79</v>
      </c>
      <c r="C19" s="8">
        <v>2015</v>
      </c>
      <c r="D19" s="12">
        <f>(5072292+3116148)</f>
        <v>8188440</v>
      </c>
      <c r="E19" s="12">
        <f>D19+(2247002+605031)</f>
        <v>11040473</v>
      </c>
      <c r="F19" s="12">
        <f>E19+85857+2650871+83295+312085+4875</f>
        <v>14177456</v>
      </c>
      <c r="G19" s="12">
        <f>M19-H19</f>
        <v>5043032</v>
      </c>
      <c r="H19" s="12">
        <v>19604624</v>
      </c>
      <c r="I19" s="12">
        <f>-11908016</f>
        <v>-11908016</v>
      </c>
      <c r="J19" s="12">
        <f>K19-(I19+11790466)</f>
        <v>5942941</v>
      </c>
      <c r="K19" s="13">
        <f>5825391</f>
        <v>5825391</v>
      </c>
      <c r="L19" s="12">
        <f>30145023</f>
        <v>30145023</v>
      </c>
      <c r="M19" s="13">
        <f>24647656</f>
        <v>24647656</v>
      </c>
      <c r="N19" s="14">
        <f>(226162+2856468+3129686+710071+153952+97831+609805+454795+57613+59150+63187)*1000</f>
        <v>8418720000</v>
      </c>
      <c r="O19" s="14">
        <f>24986215*1000</f>
        <v>24986215000</v>
      </c>
      <c r="P19" s="14">
        <f>26531597*1000</f>
        <v>26531597000</v>
      </c>
      <c r="Q19" s="53">
        <f>H19*1000</f>
        <v>19604624000</v>
      </c>
      <c r="R19" s="14">
        <v>-1545382</v>
      </c>
      <c r="S19" s="56">
        <v>4671374</v>
      </c>
      <c r="T19" s="37">
        <v>83855081253.50975</v>
      </c>
      <c r="U19" s="37">
        <v>7355687000</v>
      </c>
      <c r="V19" s="37">
        <v>12603436000</v>
      </c>
      <c r="W19" s="37">
        <v>202048237000</v>
      </c>
      <c r="X19" s="16">
        <f t="shared" si="8"/>
        <v>1.6237136706647906</v>
      </c>
      <c r="Y19" s="16">
        <f t="shared" si="9"/>
        <v>2.1892530128700352</v>
      </c>
      <c r="Z19" s="16">
        <f t="shared" si="10"/>
        <v>2.8112960615756553</v>
      </c>
      <c r="AA19" s="16">
        <f t="shared" si="11"/>
        <v>0.94175314814257127</v>
      </c>
      <c r="AB19" s="16">
        <f t="shared" si="12"/>
        <v>-0.33081958327464256</v>
      </c>
      <c r="AC19" s="16">
        <f t="shared" si="13"/>
        <v>-0.19787926517753859</v>
      </c>
      <c r="AD19" s="16">
        <f t="shared" si="14"/>
        <v>0.65034364047425008</v>
      </c>
      <c r="AE19" s="84">
        <f t="shared" si="15"/>
        <v>4196.7575278708146</v>
      </c>
      <c r="AF19" s="17">
        <f t="shared" si="16"/>
        <v>4.1666881755568104E-2</v>
      </c>
      <c r="AG19" s="17">
        <f t="shared" si="17"/>
        <v>0.12366460292350881</v>
      </c>
      <c r="AH19" s="17">
        <f t="shared" si="0"/>
        <v>0.13131318240604098</v>
      </c>
      <c r="AI19" s="34">
        <f t="shared" si="18"/>
        <v>0.41502505787026367</v>
      </c>
      <c r="AJ19" s="34">
        <f t="shared" si="1"/>
        <v>3.64055985304143E-2</v>
      </c>
      <c r="AK19">
        <f t="shared" si="19"/>
        <v>1.5376486179995088</v>
      </c>
      <c r="AL19">
        <f t="shared" si="2"/>
        <v>2.3827919372490901E-4</v>
      </c>
      <c r="AM19">
        <f t="shared" si="3"/>
        <v>23.999876109432311</v>
      </c>
      <c r="AN19">
        <f t="shared" si="4"/>
        <v>8.0863883145166238</v>
      </c>
      <c r="AO19">
        <f t="shared" si="5"/>
        <v>7.6153816522993329</v>
      </c>
      <c r="AP19">
        <f t="shared" si="6"/>
        <v>2.4094930680368671</v>
      </c>
      <c r="AQ19">
        <f t="shared" si="7"/>
        <v>27.46830268879032</v>
      </c>
      <c r="AR19" s="17">
        <f>IF(X19&gt;'cash outliers'!$D$19,'cash outliers'!$D$19,Dataset!X19)</f>
        <v>1.6237136706647906</v>
      </c>
      <c r="AS19" s="17">
        <f>IF(Y19&gt;'cash outliers'!$I$19,'cash outliers'!$I$19,Dataset!Y19)</f>
        <v>2.1892530128700352</v>
      </c>
      <c r="AT19" s="17">
        <f>IF(Z19&gt;'cash outliers'!$N$19,'cash outliers'!$N$19,Dataset!Z19)</f>
        <v>2.8112960615756553</v>
      </c>
    </row>
    <row r="20" spans="1:46" s="8" customFormat="1" outlineLevel="2" x14ac:dyDescent="0.25">
      <c r="A20" s="8" t="s">
        <v>260</v>
      </c>
      <c r="B20" s="8" t="s">
        <v>81</v>
      </c>
      <c r="C20" s="8">
        <v>2015</v>
      </c>
      <c r="D20" s="12">
        <f>(486109+2429+74091+97413)</f>
        <v>660042</v>
      </c>
      <c r="E20" s="12">
        <f>D20+407312+4320+308558</f>
        <v>1380232</v>
      </c>
      <c r="F20" s="12">
        <v>2095190</v>
      </c>
      <c r="G20" s="12">
        <f>1073516</f>
        <v>1073516</v>
      </c>
      <c r="H20" s="12">
        <v>3380104</v>
      </c>
      <c r="I20" s="12">
        <f>-2268691</f>
        <v>-2268691</v>
      </c>
      <c r="J20" s="12">
        <f>K20-(I20+3404998)</f>
        <v>582286</v>
      </c>
      <c r="K20" s="13">
        <f>1718593</f>
        <v>1718593</v>
      </c>
      <c r="L20" s="12">
        <f>6495563</f>
        <v>6495563</v>
      </c>
      <c r="M20" s="13">
        <v>4453620</v>
      </c>
      <c r="N20" s="14">
        <f>(196586+1553043+247900+54276+1351498+390185)*1000</f>
        <v>3793488000</v>
      </c>
      <c r="O20" s="14">
        <f>7898265*1000</f>
        <v>7898265000</v>
      </c>
      <c r="P20" s="14">
        <f>7438335*1000</f>
        <v>7438335000</v>
      </c>
      <c r="Q20" s="53">
        <f>H20*1000</f>
        <v>3380104000</v>
      </c>
      <c r="R20" s="14">
        <f>488779*1000</f>
        <v>488779000</v>
      </c>
      <c r="S20" s="56">
        <v>1329492</v>
      </c>
      <c r="T20" s="36">
        <v>16595888215.011978</v>
      </c>
      <c r="U20" s="36">
        <v>1796055000</v>
      </c>
      <c r="V20" s="36">
        <v>1208234000</v>
      </c>
      <c r="W20" s="36">
        <v>55940671000</v>
      </c>
      <c r="X20" s="16">
        <f t="shared" si="8"/>
        <v>0.6148413251409387</v>
      </c>
      <c r="Y20" s="16">
        <f t="shared" si="9"/>
        <v>1.2857116242328945</v>
      </c>
      <c r="Z20" s="16">
        <f t="shared" si="10"/>
        <v>1.9517082186013064</v>
      </c>
      <c r="AA20" s="16">
        <f t="shared" si="11"/>
        <v>1.0618323858766781</v>
      </c>
      <c r="AB20" s="16">
        <f t="shared" si="12"/>
        <v>367.64343072391563</v>
      </c>
      <c r="AC20" s="16">
        <f t="shared" si="13"/>
        <v>-0.25962414651355087</v>
      </c>
      <c r="AD20" s="16">
        <f t="shared" si="14"/>
        <v>0.52037121339597503</v>
      </c>
      <c r="AE20" s="84">
        <f t="shared" si="15"/>
        <v>2542.4026620694221</v>
      </c>
      <c r="AF20" s="17">
        <f t="shared" si="16"/>
        <v>6.7812701066814154E-2</v>
      </c>
      <c r="AG20" s="17">
        <f t="shared" si="17"/>
        <v>0.14119002970128836</v>
      </c>
      <c r="AH20" s="17">
        <f t="shared" si="0"/>
        <v>0.13296828348733966</v>
      </c>
      <c r="AI20" s="34">
        <f t="shared" si="18"/>
        <v>0.29666945208812345</v>
      </c>
      <c r="AJ20" s="34">
        <f t="shared" si="1"/>
        <v>3.2106425752383268E-2</v>
      </c>
      <c r="AK20">
        <f t="shared" si="19"/>
        <v>1.9217050717966075</v>
      </c>
      <c r="AL20">
        <f t="shared" si="2"/>
        <v>3.9332872598002899E-4</v>
      </c>
      <c r="AM20">
        <f t="shared" si="3"/>
        <v>14.746500054830806</v>
      </c>
      <c r="AN20">
        <f t="shared" si="4"/>
        <v>7.0826530890011918</v>
      </c>
      <c r="AO20">
        <f t="shared" si="5"/>
        <v>7.5205904278309585</v>
      </c>
      <c r="AP20">
        <f t="shared" si="6"/>
        <v>3.3707548686305504</v>
      </c>
      <c r="AQ20">
        <f t="shared" si="7"/>
        <v>31.146413110957074</v>
      </c>
      <c r="AR20" s="17">
        <f>IF(X20&gt;'cash outliers'!$D$19,'cash outliers'!$D$19,Dataset!X20)</f>
        <v>0.6148413251409387</v>
      </c>
      <c r="AS20" s="17">
        <f>IF(Y20&gt;'cash outliers'!$I$19,'cash outliers'!$I$19,Dataset!Y20)</f>
        <v>1.2857116242328945</v>
      </c>
      <c r="AT20" s="17">
        <f>IF(Z20&gt;'cash outliers'!$N$19,'cash outliers'!$N$19,Dataset!Z20)</f>
        <v>1.9517082186013064</v>
      </c>
    </row>
    <row r="21" spans="1:46" s="8" customFormat="1" outlineLevel="2" x14ac:dyDescent="0.25">
      <c r="A21" s="8" t="s">
        <v>261</v>
      </c>
      <c r="B21" s="8" t="s">
        <v>83</v>
      </c>
      <c r="C21" s="8">
        <v>2015</v>
      </c>
      <c r="D21" s="12">
        <f>(302899+1813566+1124978)</f>
        <v>3241443</v>
      </c>
      <c r="E21" s="12">
        <f>D21+1442528+1104219+898423+1200967</f>
        <v>7887580</v>
      </c>
      <c r="F21" s="12">
        <f>E21+139087+575001+690+18287+139952</f>
        <v>8760597</v>
      </c>
      <c r="G21" s="12">
        <f>M21-H21</f>
        <v>5918395</v>
      </c>
      <c r="H21" s="64">
        <v>39372000</v>
      </c>
      <c r="I21" s="12">
        <f>-23230950</f>
        <v>-23230950</v>
      </c>
      <c r="J21" s="12">
        <f>K21-(I21+17808829)</f>
        <v>2214710</v>
      </c>
      <c r="K21" s="13">
        <f>-3207411</f>
        <v>-3207411</v>
      </c>
      <c r="L21" s="12">
        <f>41753460</f>
        <v>41753460</v>
      </c>
      <c r="M21" s="13">
        <f>45290395</f>
        <v>45290395</v>
      </c>
      <c r="N21" s="14">
        <f>(9445934+4412308+2383505+391452+505991+1002787+266809+306505)*1000</f>
        <v>18715291000</v>
      </c>
      <c r="O21" s="14">
        <f>38006*1000000</f>
        <v>38006000000</v>
      </c>
      <c r="P21" s="14">
        <f>37475105*1000</f>
        <v>37475105000</v>
      </c>
      <c r="Q21" s="53">
        <f t="shared" si="20"/>
        <v>39372000000</v>
      </c>
      <c r="R21" s="14">
        <f>529903*1000</f>
        <v>529903000</v>
      </c>
      <c r="S21" s="56">
        <v>6007289</v>
      </c>
      <c r="T21" s="36">
        <v>88407646281.157593</v>
      </c>
      <c r="U21" s="36">
        <v>9359278000</v>
      </c>
      <c r="V21" s="36">
        <v>17549780000</v>
      </c>
      <c r="W21" s="36">
        <v>337174077000</v>
      </c>
      <c r="X21" s="16">
        <f t="shared" si="8"/>
        <v>0.54768953407131493</v>
      </c>
      <c r="Y21" s="16">
        <f t="shared" si="9"/>
        <v>1.3327228074503308</v>
      </c>
      <c r="Z21" s="16">
        <f t="shared" si="10"/>
        <v>1.4802318871923892</v>
      </c>
      <c r="AA21" s="16">
        <f t="shared" si="11"/>
        <v>1.0141666047366644</v>
      </c>
      <c r="AB21" s="16">
        <f t="shared" si="12"/>
        <v>88.210006210788265</v>
      </c>
      <c r="AC21" s="16">
        <f t="shared" si="13"/>
        <v>-0.5033412799801501</v>
      </c>
      <c r="AD21" s="16">
        <f t="shared" si="14"/>
        <v>0.94296376875114063</v>
      </c>
      <c r="AE21" s="84">
        <f t="shared" si="15"/>
        <v>6554.0379362471158</v>
      </c>
      <c r="AF21" s="17">
        <f t="shared" si="16"/>
        <v>5.550631640047464E-2</v>
      </c>
      <c r="AG21" s="17">
        <f t="shared" si="17"/>
        <v>0.11271922307360539</v>
      </c>
      <c r="AH21" s="17">
        <f t="shared" si="0"/>
        <v>0.11114468031894398</v>
      </c>
      <c r="AI21" s="34">
        <f t="shared" si="18"/>
        <v>0.26220178925901705</v>
      </c>
      <c r="AJ21" s="34">
        <f t="shared" si="1"/>
        <v>2.7757999912905524E-2</v>
      </c>
      <c r="AK21">
        <f t="shared" si="19"/>
        <v>1.0604861322767449</v>
      </c>
      <c r="AL21">
        <f t="shared" si="2"/>
        <v>1.5257769480849333E-4</v>
      </c>
      <c r="AM21">
        <f t="shared" si="3"/>
        <v>18.015967638440674</v>
      </c>
      <c r="AN21">
        <f t="shared" si="4"/>
        <v>8.8716012471714993</v>
      </c>
      <c r="AO21">
        <f t="shared" si="5"/>
        <v>8.9972817154214777</v>
      </c>
      <c r="AP21">
        <f t="shared" si="6"/>
        <v>3.8138565065707701</v>
      </c>
      <c r="AQ21">
        <f t="shared" si="7"/>
        <v>36.025650376022597</v>
      </c>
      <c r="AR21" s="17">
        <f>IF(X21&gt;'cash outliers'!$D$19,'cash outliers'!$D$19,Dataset!X21)</f>
        <v>0.54768953407131493</v>
      </c>
      <c r="AS21" s="17">
        <f>IF(Y21&gt;'cash outliers'!$I$19,'cash outliers'!$I$19,Dataset!Y21)</f>
        <v>1.3327228074503308</v>
      </c>
      <c r="AT21" s="17">
        <f>IF(Z21&gt;'cash outliers'!$N$19,'cash outliers'!$N$19,Dataset!Z21)</f>
        <v>1.4802318871923892</v>
      </c>
    </row>
    <row r="22" spans="1:46" s="8" customFormat="1" outlineLevel="2" x14ac:dyDescent="0.25">
      <c r="A22" s="8" t="s">
        <v>262</v>
      </c>
      <c r="B22" s="8" t="s">
        <v>85</v>
      </c>
      <c r="C22" s="8">
        <v>2015</v>
      </c>
      <c r="D22" s="12">
        <f>(4216947+197836)</f>
        <v>4414783</v>
      </c>
      <c r="E22" s="12">
        <f>D22+3084006+2235982+56614+985534</f>
        <v>10776919</v>
      </c>
      <c r="F22" s="12">
        <f>10849223</f>
        <v>10849223</v>
      </c>
      <c r="G22" s="12">
        <f>9774128</f>
        <v>9774128</v>
      </c>
      <c r="H22" s="12">
        <v>67399423</v>
      </c>
      <c r="I22" s="12">
        <f>-55144679</f>
        <v>-55144679</v>
      </c>
      <c r="J22" s="12">
        <f>K22-(I22+2502172)</f>
        <v>3081351</v>
      </c>
      <c r="K22" s="13">
        <f>-49561156</f>
        <v>-49561156</v>
      </c>
      <c r="L22" s="12">
        <f>(10849223+17370646)</f>
        <v>28219869</v>
      </c>
      <c r="M22" s="13">
        <f>9774128+67399423</f>
        <v>77173551</v>
      </c>
      <c r="N22" s="14">
        <f>(14326957+5832151+2264787+757503+2028428)*1000</f>
        <v>25209826000</v>
      </c>
      <c r="O22" s="14">
        <f>55170085*1000</f>
        <v>55170085000</v>
      </c>
      <c r="P22" s="14">
        <f>57340637*1000</f>
        <v>57340637000</v>
      </c>
      <c r="Q22" s="53">
        <f t="shared" si="20"/>
        <v>67399423000</v>
      </c>
      <c r="R22" s="14">
        <f>-2170552*1000</f>
        <v>-2170552000</v>
      </c>
      <c r="S22" s="56">
        <v>6795177</v>
      </c>
      <c r="T22" s="36">
        <v>115751383878.65399</v>
      </c>
      <c r="U22" s="36">
        <v>15892800000</v>
      </c>
      <c r="V22" s="37">
        <v>28432229000</v>
      </c>
      <c r="W22" s="36">
        <v>414723656000</v>
      </c>
      <c r="X22" s="16">
        <f t="shared" si="8"/>
        <v>0.45168049773851948</v>
      </c>
      <c r="Y22" s="16">
        <f t="shared" si="9"/>
        <v>1.1025964669175603</v>
      </c>
      <c r="Z22" s="16">
        <f t="shared" si="10"/>
        <v>1.109993955471015</v>
      </c>
      <c r="AA22" s="16">
        <f t="shared" si="11"/>
        <v>0.96214635704169105</v>
      </c>
      <c r="AB22" s="16">
        <f t="shared" si="12"/>
        <v>-319.42538067808977</v>
      </c>
      <c r="AC22" s="16">
        <f t="shared" si="13"/>
        <v>-1.8449174232523899</v>
      </c>
      <c r="AD22" s="16">
        <f t="shared" si="14"/>
        <v>2.3883676781065142</v>
      </c>
      <c r="AE22" s="84">
        <f t="shared" si="15"/>
        <v>9918.7148473100842</v>
      </c>
      <c r="AF22" s="17">
        <f t="shared" si="16"/>
        <v>6.0787046109566513E-2</v>
      </c>
      <c r="AG22" s="17">
        <f t="shared" si="17"/>
        <v>0.13302854612180598</v>
      </c>
      <c r="AH22" s="17">
        <f t="shared" si="0"/>
        <v>0.13826227698957205</v>
      </c>
      <c r="AI22" s="34">
        <f t="shared" si="18"/>
        <v>0.27910485019126563</v>
      </c>
      <c r="AJ22" s="34">
        <f t="shared" si="1"/>
        <v>3.8321421433456883E-2</v>
      </c>
      <c r="AK22">
        <f t="shared" si="19"/>
        <v>0.41869600278328795</v>
      </c>
      <c r="AL22">
        <f t="shared" si="2"/>
        <v>1.0081951295042986E-4</v>
      </c>
      <c r="AM22">
        <f t="shared" si="3"/>
        <v>16.450873401506222</v>
      </c>
      <c r="AN22">
        <f t="shared" si="4"/>
        <v>7.5171835606198547</v>
      </c>
      <c r="AO22">
        <f t="shared" si="5"/>
        <v>7.2326307780640811</v>
      </c>
      <c r="AP22">
        <f t="shared" si="6"/>
        <v>3.5828829177089458</v>
      </c>
      <c r="AQ22">
        <f t="shared" si="7"/>
        <v>26.095065438437533</v>
      </c>
      <c r="AR22" s="17">
        <f>IF(X22&gt;'cash outliers'!$D$19,'cash outliers'!$D$19,Dataset!X22)</f>
        <v>0.45168049773851948</v>
      </c>
      <c r="AS22" s="17">
        <f>IF(Y22&gt;'cash outliers'!$I$19,'cash outliers'!$I$19,Dataset!Y22)</f>
        <v>1.1025964669175603</v>
      </c>
      <c r="AT22" s="17">
        <f>IF(Z22&gt;'cash outliers'!$N$19,'cash outliers'!$N$19,Dataset!Z22)</f>
        <v>1.109993955471015</v>
      </c>
    </row>
    <row r="23" spans="1:46" s="8" customFormat="1" outlineLevel="2" x14ac:dyDescent="0.25">
      <c r="A23" s="8" t="s">
        <v>263</v>
      </c>
      <c r="B23" s="8" t="s">
        <v>87</v>
      </c>
      <c r="C23" s="8">
        <v>2015</v>
      </c>
      <c r="D23" s="12">
        <f>(15974+3706039+2927973)</f>
        <v>6649986</v>
      </c>
      <c r="E23" s="12">
        <f>D23+4577377</f>
        <v>11227363</v>
      </c>
      <c r="F23" s="12">
        <f>15018157</f>
        <v>15018157</v>
      </c>
      <c r="G23" s="12">
        <f>6574705</f>
        <v>6574705</v>
      </c>
      <c r="H23" s="12">
        <v>17765324</v>
      </c>
      <c r="I23" s="12">
        <f>-9953900</f>
        <v>-9953900</v>
      </c>
      <c r="J23" s="12">
        <f>K23-(I23+20580426)</f>
        <v>6637274</v>
      </c>
      <c r="K23" s="13">
        <f>17263800</f>
        <v>17263800</v>
      </c>
      <c r="L23" s="12">
        <f>41228662</f>
        <v>41228662</v>
      </c>
      <c r="M23" s="13">
        <f>24340030</f>
        <v>24340030</v>
      </c>
      <c r="N23" s="14">
        <f>(3250886+7260820+892039+586133+144449+322988+1017823+131601+433640)*1000+(11155.1+2079.1)*1000000</f>
        <v>27274579000</v>
      </c>
      <c r="O23" s="14">
        <f>56616.1*1000000</f>
        <v>56616100000</v>
      </c>
      <c r="P23" s="14">
        <f>55267166*1000</f>
        <v>55267166000</v>
      </c>
      <c r="Q23" s="53">
        <f t="shared" si="20"/>
        <v>17765324000</v>
      </c>
      <c r="R23" s="14">
        <f>1367223*1000</f>
        <v>1367223000</v>
      </c>
      <c r="S23" s="56">
        <v>9923895</v>
      </c>
      <c r="T23" s="36">
        <v>147044100627.11523</v>
      </c>
      <c r="U23" s="36">
        <v>19598865000</v>
      </c>
      <c r="V23" s="36">
        <v>7099000000</v>
      </c>
      <c r="W23" s="36">
        <v>421043532000</v>
      </c>
      <c r="X23" s="16">
        <f t="shared" si="8"/>
        <v>1.0114500954795691</v>
      </c>
      <c r="Y23" s="16">
        <f t="shared" si="9"/>
        <v>1.7076603436960289</v>
      </c>
      <c r="Z23" s="16">
        <f t="shared" si="10"/>
        <v>2.2842328286972573</v>
      </c>
      <c r="AA23" s="16">
        <f t="shared" si="11"/>
        <v>1.0244075116860525</v>
      </c>
      <c r="AB23" s="16">
        <f t="shared" si="12"/>
        <v>137.77080470923966</v>
      </c>
      <c r="AC23" s="16">
        <f t="shared" si="13"/>
        <v>-8.0444667353017668E-2</v>
      </c>
      <c r="AD23" s="16">
        <f t="shared" si="14"/>
        <v>0.43089741791766129</v>
      </c>
      <c r="AE23" s="84">
        <f t="shared" si="15"/>
        <v>1790.1563851693311</v>
      </c>
      <c r="AF23" s="17">
        <f t="shared" si="16"/>
        <v>6.4778525086094899E-2</v>
      </c>
      <c r="AG23" s="17">
        <f t="shared" si="17"/>
        <v>0.13446614351506059</v>
      </c>
      <c r="AH23" s="17">
        <f t="shared" si="0"/>
        <v>0.13126235602640726</v>
      </c>
      <c r="AI23" s="34">
        <f t="shared" si="18"/>
        <v>0.34923728653101654</v>
      </c>
      <c r="AJ23" s="54">
        <f t="shared" si="1"/>
        <v>4.6548310353809214E-2</v>
      </c>
      <c r="AK23">
        <f t="shared" si="19"/>
        <v>2.3207379724681632</v>
      </c>
      <c r="AL23">
        <f t="shared" si="2"/>
        <v>5.5861041431048487E-4</v>
      </c>
      <c r="AM23">
        <f t="shared" si="3"/>
        <v>15.437214704578942</v>
      </c>
      <c r="AN23">
        <f t="shared" si="4"/>
        <v>7.4368162413165155</v>
      </c>
      <c r="AO23">
        <f t="shared" si="5"/>
        <v>7.6183304206334732</v>
      </c>
      <c r="AP23">
        <f t="shared" si="6"/>
        <v>2.8633826872640866</v>
      </c>
      <c r="AQ23">
        <f t="shared" si="7"/>
        <v>21.483056901509347</v>
      </c>
      <c r="AR23" s="17">
        <f>IF(X23&gt;'cash outliers'!$D$19,'cash outliers'!$D$19,Dataset!X23)</f>
        <v>1.0114500954795691</v>
      </c>
      <c r="AS23" s="17">
        <f>IF(Y23&gt;'cash outliers'!$I$19,'cash outliers'!$I$19,Dataset!Y23)</f>
        <v>1.7076603436960289</v>
      </c>
      <c r="AT23" s="17">
        <f>IF(Z23&gt;'cash outliers'!$N$19,'cash outliers'!$N$19,Dataset!Z23)</f>
        <v>2.2842328286972573</v>
      </c>
    </row>
    <row r="24" spans="1:46" s="8" customFormat="1" outlineLevel="2" x14ac:dyDescent="0.25">
      <c r="A24" s="8" t="s">
        <v>264</v>
      </c>
      <c r="B24" s="8" t="s">
        <v>89</v>
      </c>
      <c r="C24" s="8">
        <v>2015</v>
      </c>
      <c r="D24" s="12">
        <f>11295486+2295732</f>
        <v>13591218</v>
      </c>
      <c r="E24" s="12">
        <f>D24+3142213+1284776+20642</f>
        <v>18038849</v>
      </c>
      <c r="F24" s="12">
        <f>18168213</f>
        <v>18168213</v>
      </c>
      <c r="G24" s="12">
        <f>6650623</f>
        <v>6650623</v>
      </c>
      <c r="H24" s="12">
        <v>12808332</v>
      </c>
      <c r="I24" s="12">
        <f>-5622850</f>
        <v>-5622850</v>
      </c>
      <c r="J24" s="12">
        <f>7384794</f>
        <v>7384794</v>
      </c>
      <c r="K24" s="13">
        <f>14852928</f>
        <v>14852928</v>
      </c>
      <c r="L24" s="12">
        <f>36502114</f>
        <v>36502114</v>
      </c>
      <c r="M24" s="13">
        <f>19458955</f>
        <v>19458955</v>
      </c>
      <c r="N24" s="14">
        <f>(10607930+1553297+5469773+839939+1395872+908278+2651969)*1000</f>
        <v>23427058000</v>
      </c>
      <c r="O24" s="14">
        <f>39024200*1000</f>
        <v>39024200000</v>
      </c>
      <c r="P24" s="14">
        <f>37021986*1000</f>
        <v>37021986000</v>
      </c>
      <c r="Q24" s="53">
        <f t="shared" si="20"/>
        <v>12808332000</v>
      </c>
      <c r="R24" s="14">
        <f>2002214*1000</f>
        <v>2002214000</v>
      </c>
      <c r="S24" s="56">
        <v>5490216</v>
      </c>
      <c r="T24" s="36">
        <v>100114154162.89217</v>
      </c>
      <c r="U24" s="36">
        <v>666638000</v>
      </c>
      <c r="V24" s="36">
        <v>9106240000</v>
      </c>
      <c r="W24" s="36">
        <v>277482539000</v>
      </c>
      <c r="X24" s="16">
        <f t="shared" si="8"/>
        <v>2.0436007273303569</v>
      </c>
      <c r="Y24" s="16">
        <f t="shared" si="9"/>
        <v>2.7123547673654032</v>
      </c>
      <c r="Z24" s="16">
        <f t="shared" si="10"/>
        <v>2.7318061781580463</v>
      </c>
      <c r="AA24" s="16">
        <f t="shared" si="11"/>
        <v>1.0540817556356916</v>
      </c>
      <c r="AB24" s="16">
        <f t="shared" si="12"/>
        <v>364.6876552762223</v>
      </c>
      <c r="AC24" s="16">
        <f t="shared" si="13"/>
        <v>4.826964268425659E-2</v>
      </c>
      <c r="AD24" s="16">
        <f t="shared" si="14"/>
        <v>0.35089288253277606</v>
      </c>
      <c r="AE24" s="84">
        <f t="shared" si="15"/>
        <v>2332.9377204831285</v>
      </c>
      <c r="AF24" s="17">
        <f t="shared" si="16"/>
        <v>8.4427142999437529E-2</v>
      </c>
      <c r="AG24" s="17">
        <f t="shared" si="17"/>
        <v>0.14063659695718728</v>
      </c>
      <c r="AH24" s="17">
        <f t="shared" si="0"/>
        <v>0.1334209573453557</v>
      </c>
      <c r="AI24" s="34">
        <f t="shared" si="18"/>
        <v>0.36079442880869766</v>
      </c>
      <c r="AJ24" s="54">
        <f t="shared" si="1"/>
        <v>2.4024502673301545E-3</v>
      </c>
      <c r="AK24">
        <f t="shared" si="19"/>
        <v>2.8498725673257064</v>
      </c>
      <c r="AL24">
        <f t="shared" si="2"/>
        <v>4.2864410447824121E-4</v>
      </c>
      <c r="AM24">
        <f t="shared" si="3"/>
        <v>11.844532036417034</v>
      </c>
      <c r="AN24">
        <f t="shared" si="4"/>
        <v>7.1105247256830379</v>
      </c>
      <c r="AO24">
        <f t="shared" si="5"/>
        <v>7.4950743863389722</v>
      </c>
      <c r="AP24">
        <f t="shared" si="6"/>
        <v>2.7716614231042502</v>
      </c>
      <c r="AQ24">
        <f t="shared" si="7"/>
        <v>416.24170689339638</v>
      </c>
      <c r="AR24" s="17">
        <f>IF(X24&gt;'cash outliers'!$D$19,'cash outliers'!$D$19,Dataset!X24)</f>
        <v>2.0436007273303569</v>
      </c>
      <c r="AS24" s="17">
        <f>IF(Y24&gt;'cash outliers'!$I$19,'cash outliers'!$I$19,Dataset!Y24)</f>
        <v>2.7123547673654032</v>
      </c>
      <c r="AT24" s="17">
        <f>IF(Z24&gt;'cash outliers'!$N$19,'cash outliers'!$N$19,Dataset!Z24)</f>
        <v>2.7318061781580463</v>
      </c>
    </row>
    <row r="25" spans="1:46" s="8" customFormat="1" outlineLevel="2" x14ac:dyDescent="0.25">
      <c r="A25" s="8" t="s">
        <v>290</v>
      </c>
      <c r="B25" s="8" t="s">
        <v>91</v>
      </c>
      <c r="C25" s="8">
        <v>2015</v>
      </c>
      <c r="D25" s="12">
        <f>(3432179+1240797+95055)</f>
        <v>4768031</v>
      </c>
      <c r="E25" s="12">
        <f>D25+642583+54299</f>
        <v>5464913</v>
      </c>
      <c r="F25" s="12">
        <f>6069750</f>
        <v>6069750</v>
      </c>
      <c r="G25" s="12">
        <f>2168773</f>
        <v>2168773</v>
      </c>
      <c r="H25" s="12">
        <v>8378125</v>
      </c>
      <c r="I25" s="12">
        <f>-5824331</f>
        <v>-5824331</v>
      </c>
      <c r="J25" s="12">
        <f>K25-(I25+14293718)</f>
        <v>4516667</v>
      </c>
      <c r="K25" s="13">
        <f>12986054</f>
        <v>12986054</v>
      </c>
      <c r="L25" s="12">
        <f>23522236</f>
        <v>23522236</v>
      </c>
      <c r="M25" s="13">
        <f>10546898</f>
        <v>10546898</v>
      </c>
      <c r="N25" s="14">
        <f>(3300516+414779+1744620+689171+273710+513203)*1000</f>
        <v>6935999000</v>
      </c>
      <c r="O25" s="14">
        <f>17085558*1000</f>
        <v>17085558000</v>
      </c>
      <c r="P25" s="14">
        <f>16682526*1000</f>
        <v>16682526000</v>
      </c>
      <c r="Q25" s="53">
        <f t="shared" si="20"/>
        <v>8378125000</v>
      </c>
      <c r="R25" s="14">
        <f>403032*1000</f>
        <v>403032000</v>
      </c>
      <c r="S25" s="56">
        <v>2992767</v>
      </c>
      <c r="T25" s="36">
        <v>61145014249.153473</v>
      </c>
      <c r="U25" s="36">
        <v>732127000</v>
      </c>
      <c r="V25" s="36">
        <v>5528472000</v>
      </c>
      <c r="W25" s="36">
        <v>106074837000</v>
      </c>
      <c r="X25" s="16">
        <f t="shared" si="8"/>
        <v>2.1984924194463873</v>
      </c>
      <c r="Y25" s="16">
        <f t="shared" si="9"/>
        <v>2.5198178878102966</v>
      </c>
      <c r="Z25" s="16">
        <f t="shared" si="10"/>
        <v>2.7987023077103967</v>
      </c>
      <c r="AA25" s="16">
        <f t="shared" si="11"/>
        <v>1.0241589313273063</v>
      </c>
      <c r="AB25" s="16">
        <f t="shared" si="12"/>
        <v>134.66868620243406</v>
      </c>
      <c r="AC25" s="16">
        <f t="shared" si="13"/>
        <v>-5.5592674097819615E-2</v>
      </c>
      <c r="AD25" s="16">
        <f t="shared" si="14"/>
        <v>0.3561789363902309</v>
      </c>
      <c r="AE25" s="84">
        <f t="shared" si="15"/>
        <v>2799.457826152186</v>
      </c>
      <c r="AF25" s="17">
        <f t="shared" si="16"/>
        <v>6.5387788434687857E-2</v>
      </c>
      <c r="AG25" s="17">
        <f t="shared" si="17"/>
        <v>0.16107079193532015</v>
      </c>
      <c r="AH25" s="17">
        <f t="shared" si="0"/>
        <v>0.15727128574329086</v>
      </c>
      <c r="AI25" s="34">
        <f t="shared" si="18"/>
        <v>0.57643279007964421</v>
      </c>
      <c r="AJ25" s="54">
        <f t="shared" si="1"/>
        <v>6.9019856236027027E-3</v>
      </c>
      <c r="AK25">
        <f t="shared" si="19"/>
        <v>2.8075775904513245</v>
      </c>
      <c r="AL25">
        <f t="shared" si="2"/>
        <v>3.5721202536367029E-4</v>
      </c>
      <c r="AM25">
        <f t="shared" si="3"/>
        <v>15.293375474823454</v>
      </c>
      <c r="AN25">
        <f t="shared" si="4"/>
        <v>6.2084502595701005</v>
      </c>
      <c r="AO25">
        <f t="shared" si="5"/>
        <v>6.3584397830400503</v>
      </c>
      <c r="AP25">
        <f t="shared" si="6"/>
        <v>1.734807625815028</v>
      </c>
      <c r="AQ25">
        <f t="shared" si="7"/>
        <v>144.88584221043615</v>
      </c>
      <c r="AR25" s="17">
        <f>IF(X25&gt;'cash outliers'!$D$19,'cash outliers'!$D$19,Dataset!X25)</f>
        <v>2.1984924194463873</v>
      </c>
      <c r="AS25" s="17">
        <f>IF(Y25&gt;'cash outliers'!$I$19,'cash outliers'!$I$19,Dataset!Y25)</f>
        <v>2.5198178878102966</v>
      </c>
      <c r="AT25" s="17">
        <f>IF(Z25&gt;'cash outliers'!$N$19,'cash outliers'!$N$19,Dataset!Z25)</f>
        <v>2.7987023077103967</v>
      </c>
    </row>
    <row r="26" spans="1:46" s="8" customFormat="1" outlineLevel="2" x14ac:dyDescent="0.25">
      <c r="A26" s="8" t="s">
        <v>265</v>
      </c>
      <c r="B26" s="8" t="s">
        <v>93</v>
      </c>
      <c r="C26" s="8">
        <v>2015</v>
      </c>
      <c r="D26" s="12">
        <f>1838630+2504311</f>
        <v>4342941</v>
      </c>
      <c r="E26" s="12">
        <f>D26+4191735</f>
        <v>8534676</v>
      </c>
      <c r="F26" s="12">
        <f>E26+3588+86428+48+4037</f>
        <v>8628777</v>
      </c>
      <c r="G26" s="12">
        <f>M26-H26</f>
        <v>1651631</v>
      </c>
      <c r="H26" s="12">
        <v>11047005</v>
      </c>
      <c r="I26" s="12">
        <f>-4596060</f>
        <v>-4596060</v>
      </c>
      <c r="J26" s="12">
        <f>K26-(I26+29084423)</f>
        <v>3813817</v>
      </c>
      <c r="K26" s="13">
        <f>28302180</f>
        <v>28302180</v>
      </c>
      <c r="L26" s="12">
        <f>41105747</f>
        <v>41105747</v>
      </c>
      <c r="M26" s="13">
        <f>12698636</f>
        <v>12698636</v>
      </c>
      <c r="N26" s="14">
        <f>(3142387+6418379+490131+222828+32101+29982+656893+668955)*1000</f>
        <v>11661656000</v>
      </c>
      <c r="O26" s="14">
        <f>26121200*1000</f>
        <v>26121200000</v>
      </c>
      <c r="P26" s="14">
        <f>24834819*1000</f>
        <v>24834819000</v>
      </c>
      <c r="Q26" s="53">
        <f t="shared" si="20"/>
        <v>11047005000</v>
      </c>
      <c r="R26" s="14">
        <f>1286381*1000</f>
        <v>1286381000</v>
      </c>
      <c r="S26" s="56">
        <v>6084455</v>
      </c>
      <c r="T26" s="36">
        <v>90605187012.142563</v>
      </c>
      <c r="U26" s="36">
        <v>3332002000</v>
      </c>
      <c r="V26" s="36">
        <v>3627792000</v>
      </c>
      <c r="W26" s="36">
        <v>260122599000</v>
      </c>
      <c r="X26" s="16">
        <f t="shared" si="8"/>
        <v>2.6294862472307678</v>
      </c>
      <c r="Y26" s="16">
        <f t="shared" si="9"/>
        <v>5.1674229897598192</v>
      </c>
      <c r="Z26" s="16">
        <f t="shared" si="10"/>
        <v>5.2243975803311997</v>
      </c>
      <c r="AA26" s="16">
        <f t="shared" si="11"/>
        <v>1.051797478370992</v>
      </c>
      <c r="AB26" s="16">
        <f t="shared" si="12"/>
        <v>211.4209078709597</v>
      </c>
      <c r="AC26" s="16">
        <f t="shared" si="13"/>
        <v>-1.9030015437987297E-2</v>
      </c>
      <c r="AD26" s="16">
        <f t="shared" si="14"/>
        <v>0.26874599797444382</v>
      </c>
      <c r="AE26" s="84">
        <f t="shared" si="15"/>
        <v>1815.6112585268525</v>
      </c>
      <c r="AF26" s="17">
        <f t="shared" si="16"/>
        <v>4.4831383527734164E-2</v>
      </c>
      <c r="AG26" s="17">
        <f t="shared" si="17"/>
        <v>0.10041880290454887</v>
      </c>
      <c r="AH26" s="17">
        <f t="shared" si="0"/>
        <v>9.547351554795129E-2</v>
      </c>
      <c r="AI26" s="34">
        <f t="shared" si="18"/>
        <v>0.34831724487014898</v>
      </c>
      <c r="AJ26" s="54">
        <f t="shared" si="1"/>
        <v>1.280935225470356E-2</v>
      </c>
      <c r="AK26">
        <f t="shared" si="19"/>
        <v>3.7209856427149259</v>
      </c>
      <c r="AL26">
        <f t="shared" si="2"/>
        <v>5.5077869522101241E-4</v>
      </c>
      <c r="AM26">
        <f t="shared" si="3"/>
        <v>22.305802795074733</v>
      </c>
      <c r="AN26">
        <f t="shared" si="4"/>
        <v>9.9582943739185037</v>
      </c>
      <c r="AO26">
        <f t="shared" si="5"/>
        <v>10.474108911363517</v>
      </c>
      <c r="AP26">
        <f t="shared" si="6"/>
        <v>2.8709459974420595</v>
      </c>
      <c r="AQ26">
        <f t="shared" si="7"/>
        <v>78.067960043241271</v>
      </c>
      <c r="AR26" s="17">
        <f>IF(X26&gt;'cash outliers'!$D$19,'cash outliers'!$D$19,Dataset!X26)</f>
        <v>2.6294862472307678</v>
      </c>
      <c r="AS26" s="17">
        <f>IF(Y26&gt;'cash outliers'!$I$19,'cash outliers'!$I$19,Dataset!Y26)</f>
        <v>5.1674229897598192</v>
      </c>
      <c r="AT26" s="17">
        <f>IF(Z26&gt;'cash outliers'!$N$19,'cash outliers'!$N$19,Dataset!Z26)</f>
        <v>5.2243975803311997</v>
      </c>
    </row>
    <row r="27" spans="1:46" outlineLevel="2" x14ac:dyDescent="0.25">
      <c r="A27" t="s">
        <v>266</v>
      </c>
      <c r="B27" s="8" t="s">
        <v>95</v>
      </c>
      <c r="C27" s="8">
        <v>2015</v>
      </c>
      <c r="D27" s="12">
        <f>1843229+361664+2209264</f>
        <v>4414157</v>
      </c>
      <c r="E27" s="12">
        <f>D27+424561+434346</f>
        <v>5273064</v>
      </c>
      <c r="F27" s="12">
        <f>E27+242551+3334+33694+32675+115025+32591+13009</f>
        <v>5745943</v>
      </c>
      <c r="G27" s="12">
        <f>M27-H27</f>
        <v>910832</v>
      </c>
      <c r="H27" s="12">
        <v>2413457</v>
      </c>
      <c r="I27" s="12">
        <f>-634172</f>
        <v>-634172</v>
      </c>
      <c r="J27" s="12">
        <f>K27-(I27+5347265)</f>
        <v>3097701</v>
      </c>
      <c r="K27" s="13">
        <f>7810794</f>
        <v>7810794</v>
      </c>
      <c r="L27" s="12">
        <f>11253665</f>
        <v>11253665</v>
      </c>
      <c r="M27" s="13">
        <f>3324289</f>
        <v>3324289</v>
      </c>
      <c r="N27" s="14">
        <f>(261532+226892+257634+1151329+174112+385116)*1000</f>
        <v>2456615000</v>
      </c>
      <c r="O27" s="14">
        <f>5959760*1000</f>
        <v>5959760000</v>
      </c>
      <c r="P27" s="14">
        <f>5520468*1000</f>
        <v>5520468000</v>
      </c>
      <c r="Q27" s="53">
        <f t="shared" si="20"/>
        <v>2413457000</v>
      </c>
      <c r="R27" s="14">
        <f>439292*1000</f>
        <v>439292000</v>
      </c>
      <c r="S27" s="56">
        <v>1033112</v>
      </c>
      <c r="T27" s="36">
        <v>18457560171.418686</v>
      </c>
      <c r="U27" s="36">
        <v>466986000</v>
      </c>
      <c r="V27" s="36">
        <v>257741000</v>
      </c>
      <c r="W27" s="36">
        <v>42646600000</v>
      </c>
      <c r="X27" s="16">
        <f t="shared" si="8"/>
        <v>4.8462910833172312</v>
      </c>
      <c r="Y27" s="16">
        <f t="shared" si="9"/>
        <v>5.7892827656472328</v>
      </c>
      <c r="Z27" s="16">
        <f t="shared" si="10"/>
        <v>6.3084553463207262</v>
      </c>
      <c r="AA27" s="16">
        <f t="shared" si="11"/>
        <v>1.0795751374702289</v>
      </c>
      <c r="AB27" s="16">
        <f t="shared" si="12"/>
        <v>425.21236806851533</v>
      </c>
      <c r="AC27" s="16">
        <f t="shared" si="13"/>
        <v>0.21890903985501611</v>
      </c>
      <c r="AD27" s="16">
        <f t="shared" si="14"/>
        <v>0.21445964492456457</v>
      </c>
      <c r="AE27" s="84">
        <f t="shared" si="15"/>
        <v>2336.1039267765741</v>
      </c>
      <c r="AF27" s="17">
        <f t="shared" si="16"/>
        <v>5.7604005946546737E-2</v>
      </c>
      <c r="AG27" s="17">
        <f t="shared" si="17"/>
        <v>0.13974760004314529</v>
      </c>
      <c r="AH27" s="17">
        <f t="shared" si="0"/>
        <v>0.12944684922127439</v>
      </c>
      <c r="AI27" s="34">
        <f t="shared" si="18"/>
        <v>0.43280261899937361</v>
      </c>
      <c r="AJ27" s="54">
        <f t="shared" si="1"/>
        <v>1.0950134360066218E-2</v>
      </c>
      <c r="AK27">
        <f t="shared" si="19"/>
        <v>4.6628819158576267</v>
      </c>
      <c r="AL27">
        <f t="shared" si="2"/>
        <v>4.2806314759285125E-4</v>
      </c>
      <c r="AM27">
        <f t="shared" si="3"/>
        <v>17.359903770025014</v>
      </c>
      <c r="AN27">
        <f t="shared" si="4"/>
        <v>7.1557579499845634</v>
      </c>
      <c r="AO27">
        <f t="shared" si="5"/>
        <v>7.7251783725582683</v>
      </c>
      <c r="AP27">
        <f t="shared" si="6"/>
        <v>2.3105220627175718</v>
      </c>
      <c r="AQ27">
        <f t="shared" si="7"/>
        <v>91.323080349303837</v>
      </c>
      <c r="AR27" s="17">
        <f>IF(X27&gt;'cash outliers'!$D$19,'cash outliers'!$D$19,Dataset!X27)</f>
        <v>4.8462910833172312</v>
      </c>
      <c r="AS27" s="17">
        <f>IF(Y27&gt;'cash outliers'!$I$19,'cash outliers'!$I$19,Dataset!Y27)</f>
        <v>5.7892827656472328</v>
      </c>
      <c r="AT27" s="17">
        <f>IF(Z27&gt;'cash outliers'!$N$19,'cash outliers'!$N$19,Dataset!Z27)</f>
        <v>6.3084553463207262</v>
      </c>
    </row>
    <row r="28" spans="1:46" outlineLevel="2" x14ac:dyDescent="0.25">
      <c r="A28" t="s">
        <v>267</v>
      </c>
      <c r="B28" s="8" t="s">
        <v>97</v>
      </c>
      <c r="C28" s="8">
        <v>2015</v>
      </c>
      <c r="D28" s="12">
        <f>691755+3961293</f>
        <v>4653048</v>
      </c>
      <c r="E28" s="12">
        <f>D28+462958+303841+292388+330255</f>
        <v>6042490</v>
      </c>
      <c r="F28" s="12">
        <f>E28+107658+30969</f>
        <v>6181117</v>
      </c>
      <c r="G28" s="12">
        <f>M28-H28</f>
        <v>1295541</v>
      </c>
      <c r="H28" s="12">
        <v>718005</v>
      </c>
      <c r="I28" s="12">
        <f>1244271</f>
        <v>1244271</v>
      </c>
      <c r="J28" s="12">
        <f>K28-(I28+8680946)</f>
        <v>2962108</v>
      </c>
      <c r="K28" s="13">
        <f>12887325</f>
        <v>12887325</v>
      </c>
      <c r="L28" s="12">
        <f>15019740</f>
        <v>15019740</v>
      </c>
      <c r="M28" s="13">
        <f>2013546</f>
        <v>2013546</v>
      </c>
      <c r="N28" s="14">
        <f>(2578226+1829956+345357+129390+85959+7117)*1000</f>
        <v>4976005000</v>
      </c>
      <c r="O28" s="15">
        <f>8626*1000000</f>
        <v>8626000000</v>
      </c>
      <c r="P28" s="14">
        <f>8345307*1000</f>
        <v>8345307000</v>
      </c>
      <c r="Q28" s="14">
        <f>H28*1000</f>
        <v>718005000</v>
      </c>
      <c r="R28" s="14">
        <f>300105*1000</f>
        <v>300105000</v>
      </c>
      <c r="S28" s="9">
        <v>1896423</v>
      </c>
      <c r="T28" s="37">
        <v>16208404431.765661</v>
      </c>
      <c r="U28" s="36"/>
      <c r="V28" s="37">
        <v>15475000</v>
      </c>
      <c r="W28" s="36">
        <v>91039758000</v>
      </c>
      <c r="X28" s="16">
        <f t="shared" si="8"/>
        <v>3.5915868351522646</v>
      </c>
      <c r="Y28" s="16">
        <f t="shared" si="9"/>
        <v>4.6640669805123887</v>
      </c>
      <c r="Z28" s="16">
        <f t="shared" si="10"/>
        <v>4.7710701552478847</v>
      </c>
      <c r="AA28" s="16">
        <f t="shared" si="11"/>
        <v>1.0336348321278055</v>
      </c>
      <c r="AB28" s="16">
        <f t="shared" si="12"/>
        <v>158.24792253626958</v>
      </c>
      <c r="AC28" s="16">
        <f t="shared" si="13"/>
        <v>0.28005671203363042</v>
      </c>
      <c r="AD28" s="16">
        <f t="shared" si="14"/>
        <v>4.7804089817799773E-2</v>
      </c>
      <c r="AE28" s="84">
        <f t="shared" si="15"/>
        <v>378.61015184903368</v>
      </c>
      <c r="AF28" s="17">
        <f t="shared" si="16"/>
        <v>5.4657493707309726E-2</v>
      </c>
      <c r="AG28" s="17">
        <f t="shared" si="17"/>
        <v>9.4749812494009489E-2</v>
      </c>
      <c r="AH28" s="17">
        <f t="shared" si="0"/>
        <v>9.1666621082186969E-2</v>
      </c>
      <c r="AI28" s="34">
        <f t="shared" ref="AI28:AI51" si="22">T28/$W28</f>
        <v>0.17803655005064559</v>
      </c>
      <c r="AJ28" s="54"/>
      <c r="AK28">
        <f t="shared" si="19"/>
        <v>20.918712265234923</v>
      </c>
      <c r="AL28">
        <f t="shared" si="2"/>
        <v>2.6412392671360226E-3</v>
      </c>
      <c r="AM28">
        <f t="shared" si="3"/>
        <v>18.295752918254703</v>
      </c>
      <c r="AN28">
        <f t="shared" si="4"/>
        <v>10.554110595872942</v>
      </c>
      <c r="AO28">
        <f t="shared" si="5"/>
        <v>10.909096334023422</v>
      </c>
      <c r="AP28">
        <f t="shared" si="6"/>
        <v>5.6168241842224678</v>
      </c>
      <c r="AQ28" t="e">
        <f t="shared" si="7"/>
        <v>#DIV/0!</v>
      </c>
      <c r="AR28" s="17">
        <f>IF(X28&gt;'cash outliers'!$D$19,'cash outliers'!$D$19,Dataset!X28)</f>
        <v>3.5915868351522646</v>
      </c>
      <c r="AS28" s="17">
        <f>IF(Y28&gt;'cash outliers'!$I$19,'cash outliers'!$I$19,Dataset!Y28)</f>
        <v>4.6640669805123887</v>
      </c>
      <c r="AT28" s="17">
        <f>IF(Z28&gt;'cash outliers'!$N$19,'cash outliers'!$N$19,Dataset!Z28)</f>
        <v>4.7710701552478847</v>
      </c>
    </row>
    <row r="29" spans="1:46" outlineLevel="2" x14ac:dyDescent="0.25">
      <c r="A29" t="s">
        <v>268</v>
      </c>
      <c r="B29" s="8" t="s">
        <v>99</v>
      </c>
      <c r="C29" s="8">
        <v>2015</v>
      </c>
      <c r="D29" s="12">
        <f>2111214+1225695</f>
        <v>3336909</v>
      </c>
      <c r="E29" s="12">
        <f>D29+125632+1058856+463856+40783+455862+98422+43399+47</f>
        <v>5623766</v>
      </c>
      <c r="F29" s="12">
        <f>E29+20846+18080+27698+6427+19</f>
        <v>5696836</v>
      </c>
      <c r="G29" s="12">
        <f>M29-H29</f>
        <v>1681177</v>
      </c>
      <c r="H29" s="12">
        <v>5686242</v>
      </c>
      <c r="I29" s="12">
        <f>-2135356</f>
        <v>-2135356</v>
      </c>
      <c r="J29" s="12">
        <f>K29-(I29+4899004)</f>
        <v>1628513</v>
      </c>
      <c r="K29" s="13">
        <f>4392161</f>
        <v>4392161</v>
      </c>
      <c r="L29" s="12">
        <f>12014217</f>
        <v>12014217</v>
      </c>
      <c r="M29" s="13">
        <f>7367419</f>
        <v>7367419</v>
      </c>
      <c r="N29" s="14">
        <f>((876636+1032529+413749+301226+67696+2466+378927)+(554887+128439+29746+150480+139417+67815+34835+12075+246277+207024+20209+3532))*1000</f>
        <v>4667965000</v>
      </c>
      <c r="O29" s="15">
        <f>10278296*1000</f>
        <v>10278296000</v>
      </c>
      <c r="P29" s="14">
        <f>9702815*1000</f>
        <v>9702815000</v>
      </c>
      <c r="Q29" s="53">
        <f>H29*1000</f>
        <v>5686242000</v>
      </c>
      <c r="R29" s="14">
        <f>589519*1000</f>
        <v>589519000</v>
      </c>
      <c r="S29" s="56">
        <v>2891398</v>
      </c>
      <c r="T29" s="36">
        <v>65868501577.633041</v>
      </c>
      <c r="U29" s="36">
        <v>1270691000</v>
      </c>
      <c r="V29" s="37">
        <v>3513195000</v>
      </c>
      <c r="W29" s="36">
        <v>121973291000</v>
      </c>
      <c r="X29" s="16">
        <f t="shared" si="8"/>
        <v>1.9848647703364963</v>
      </c>
      <c r="Y29" s="16">
        <f t="shared" si="9"/>
        <v>3.3451361754294759</v>
      </c>
      <c r="Z29" s="16">
        <f t="shared" si="10"/>
        <v>3.388599772659274</v>
      </c>
      <c r="AA29" s="16">
        <f t="shared" si="11"/>
        <v>1.0593107258048309</v>
      </c>
      <c r="AB29" s="16">
        <f t="shared" si="12"/>
        <v>203.8871853684619</v>
      </c>
      <c r="AC29" s="16">
        <f t="shared" si="13"/>
        <v>-4.2186935694602488E-2</v>
      </c>
      <c r="AD29" s="16">
        <f t="shared" si="14"/>
        <v>0.4732927663950135</v>
      </c>
      <c r="AE29" s="84">
        <f t="shared" si="15"/>
        <v>1966.6064651078821</v>
      </c>
      <c r="AF29" s="17">
        <f t="shared" si="16"/>
        <v>3.8270386588158879E-2</v>
      </c>
      <c r="AG29" s="17">
        <f t="shared" si="17"/>
        <v>8.4266776076411684E-2</v>
      </c>
      <c r="AH29" s="17">
        <f t="shared" si="0"/>
        <v>7.9548685785644668E-2</v>
      </c>
      <c r="AI29" s="34">
        <f t="shared" si="22"/>
        <v>0.54002397604925689</v>
      </c>
      <c r="AJ29" s="54">
        <f t="shared" ref="AJ29:AJ41" si="23">U29/$W29</f>
        <v>1.0417780725454066E-2</v>
      </c>
      <c r="AK29">
        <f t="shared" si="19"/>
        <v>2.1128571383349497</v>
      </c>
      <c r="AL29">
        <f t="shared" si="2"/>
        <v>5.0849014164363736E-4</v>
      </c>
      <c r="AM29">
        <f t="shared" si="3"/>
        <v>26.129864084242275</v>
      </c>
      <c r="AN29">
        <f t="shared" si="4"/>
        <v>11.867073199682126</v>
      </c>
      <c r="AO29">
        <f t="shared" si="5"/>
        <v>12.57091792433433</v>
      </c>
      <c r="AP29">
        <f t="shared" si="6"/>
        <v>1.8517696331112299</v>
      </c>
      <c r="AQ29">
        <f t="shared" si="7"/>
        <v>95.989733932167624</v>
      </c>
      <c r="AR29" s="17">
        <f>IF(X29&gt;'cash outliers'!$D$19,'cash outliers'!$D$19,Dataset!X29)</f>
        <v>1.9848647703364963</v>
      </c>
      <c r="AS29" s="17">
        <f>IF(Y29&gt;'cash outliers'!$I$19,'cash outliers'!$I$19,Dataset!Y29)</f>
        <v>3.3451361754294759</v>
      </c>
      <c r="AT29" s="17">
        <f>IF(Z29&gt;'cash outliers'!$N$19,'cash outliers'!$N$19,Dataset!Z29)</f>
        <v>3.388599772659274</v>
      </c>
    </row>
    <row r="30" spans="1:46" outlineLevel="2" x14ac:dyDescent="0.25">
      <c r="A30" t="s">
        <v>269</v>
      </c>
      <c r="B30" s="8" t="s">
        <v>101</v>
      </c>
      <c r="C30" s="8">
        <v>2015</v>
      </c>
      <c r="D30" s="12">
        <f>513007</f>
        <v>513007</v>
      </c>
      <c r="E30" s="12">
        <f>D30+616291</f>
        <v>1129298</v>
      </c>
      <c r="F30" s="12">
        <f>2084599</f>
        <v>2084599</v>
      </c>
      <c r="G30" s="12">
        <f>829968</f>
        <v>829968</v>
      </c>
      <c r="H30" s="12">
        <v>3365959</v>
      </c>
      <c r="I30" s="12">
        <f>-1650532</f>
        <v>-1650532</v>
      </c>
      <c r="J30" s="12">
        <f>K30-(I30+2521527)</f>
        <v>1118393</v>
      </c>
      <c r="K30" s="13">
        <f>1989388</f>
        <v>1989388</v>
      </c>
      <c r="L30" s="12">
        <f>6204320</f>
        <v>6204320</v>
      </c>
      <c r="M30" s="13">
        <f>4195927</f>
        <v>4195927</v>
      </c>
      <c r="N30" s="14">
        <f>(408678+564562+280792+370000+221501+181278)*1000</f>
        <v>2026811000</v>
      </c>
      <c r="O30" s="15">
        <f>6426800*1000</f>
        <v>6426800000</v>
      </c>
      <c r="P30" s="14">
        <f>6364775*1000</f>
        <v>6364775000</v>
      </c>
      <c r="Q30" s="53">
        <f t="shared" si="20"/>
        <v>3365959000</v>
      </c>
      <c r="R30" s="14">
        <f>62025*1000</f>
        <v>62025000</v>
      </c>
      <c r="S30" s="56">
        <v>1330748</v>
      </c>
      <c r="T30" s="36">
        <v>16802791274.001951</v>
      </c>
      <c r="U30" s="36">
        <v>2138000000</v>
      </c>
      <c r="V30" s="37">
        <v>1614702000</v>
      </c>
      <c r="W30" s="36">
        <v>72947535000</v>
      </c>
      <c r="X30" s="16">
        <f t="shared" si="8"/>
        <v>0.61810455342856596</v>
      </c>
      <c r="Y30" s="16">
        <f t="shared" si="9"/>
        <v>1.3606524588899813</v>
      </c>
      <c r="Z30" s="16">
        <f t="shared" si="10"/>
        <v>2.5116618953983769</v>
      </c>
      <c r="AA30" s="16">
        <f t="shared" si="11"/>
        <v>1.0097450420478336</v>
      </c>
      <c r="AB30" s="16">
        <f t="shared" si="12"/>
        <v>46.609125093556408</v>
      </c>
      <c r="AC30" s="16">
        <f t="shared" si="13"/>
        <v>-8.5769109265801891E-2</v>
      </c>
      <c r="AD30" s="16">
        <f t="shared" si="14"/>
        <v>0.54251859994326534</v>
      </c>
      <c r="AE30" s="84">
        <f t="shared" si="15"/>
        <v>2529.3737056151876</v>
      </c>
      <c r="AF30" s="17">
        <f t="shared" si="16"/>
        <v>2.7784502930770724E-2</v>
      </c>
      <c r="AG30" s="17">
        <f t="shared" si="17"/>
        <v>8.810167471731567E-2</v>
      </c>
      <c r="AH30" s="17">
        <f t="shared" si="0"/>
        <v>8.7251406096175835E-2</v>
      </c>
      <c r="AI30" s="34">
        <f t="shared" si="22"/>
        <v>0.23034076852633817</v>
      </c>
      <c r="AJ30" s="54">
        <f t="shared" si="23"/>
        <v>2.9308735380845975E-2</v>
      </c>
      <c r="AK30">
        <f t="shared" si="19"/>
        <v>1.8432547752364186</v>
      </c>
      <c r="AL30">
        <f t="shared" si="2"/>
        <v>3.9535478596144517E-4</v>
      </c>
      <c r="AM30">
        <f t="shared" si="3"/>
        <v>35.991286311353157</v>
      </c>
      <c r="AN30">
        <f t="shared" si="4"/>
        <v>11.35052203273791</v>
      </c>
      <c r="AO30">
        <f t="shared" si="5"/>
        <v>11.461133347211803</v>
      </c>
      <c r="AP30">
        <f t="shared" si="6"/>
        <v>4.3413938678669277</v>
      </c>
      <c r="AQ30">
        <f t="shared" si="7"/>
        <v>34.119520579981291</v>
      </c>
      <c r="AR30" s="17">
        <f>IF(X30&gt;'cash outliers'!$D$19,'cash outliers'!$D$19,Dataset!X30)</f>
        <v>0.61810455342856596</v>
      </c>
      <c r="AS30" s="17">
        <f>IF(Y30&gt;'cash outliers'!$I$19,'cash outliers'!$I$19,Dataset!Y30)</f>
        <v>1.3606524588899813</v>
      </c>
      <c r="AT30" s="17">
        <f>IF(Z30&gt;'cash outliers'!$N$19,'cash outliers'!$N$19,Dataset!Z30)</f>
        <v>2.5116618953983769</v>
      </c>
    </row>
    <row r="31" spans="1:46" s="8" customFormat="1" outlineLevel="2" x14ac:dyDescent="0.25">
      <c r="A31" s="8" t="s">
        <v>270</v>
      </c>
      <c r="B31" s="8" t="s">
        <v>103</v>
      </c>
      <c r="C31" s="8">
        <v>2015</v>
      </c>
      <c r="D31" s="12">
        <f>(282664716+5802566982)/1000</f>
        <v>6085231.6979999999</v>
      </c>
      <c r="E31" s="12">
        <f>D31+((1739093327+4445911599+1934376636+923888594)/1000)</f>
        <v>15128501.853999998</v>
      </c>
      <c r="F31" s="12">
        <f>15194085916/1000</f>
        <v>15194085.915999999</v>
      </c>
      <c r="G31" s="12">
        <f>7217595231/1000</f>
        <v>7217595.2309999997</v>
      </c>
      <c r="H31" s="12">
        <v>150703329.38299999</v>
      </c>
      <c r="I31" s="12">
        <f>-127852009553/1000</f>
        <v>-127852009.553</v>
      </c>
      <c r="J31" s="12">
        <f>K31-(I31+(8368357585/1000))</f>
        <v>5606416.6190000027</v>
      </c>
      <c r="K31" s="12">
        <f>-113877235349/1000</f>
        <v>-113877235.34900001</v>
      </c>
      <c r="L31" s="12">
        <f>F31+(26719782514/1000)</f>
        <v>41913868.43</v>
      </c>
      <c r="M31" s="12">
        <f>G31+H31</f>
        <v>157920924.61399999</v>
      </c>
      <c r="N31" s="15">
        <f>(13250001844+9123912326+2738758941+5658490623)</f>
        <v>30771163734</v>
      </c>
      <c r="O31" s="15">
        <f>60606.3*1000000</f>
        <v>60606300000</v>
      </c>
      <c r="P31" s="15">
        <f>66670626759</f>
        <v>66670626759</v>
      </c>
      <c r="Q31" s="53">
        <f>H31*1000</f>
        <v>150703329383</v>
      </c>
      <c r="R31" s="15">
        <f>-6073297602</f>
        <v>-6073297602</v>
      </c>
      <c r="S31" s="56">
        <v>8959307</v>
      </c>
      <c r="T31" s="37">
        <v>223996339515.58078</v>
      </c>
      <c r="U31" s="37">
        <v>81454700000</v>
      </c>
      <c r="V31" s="37">
        <v>44234882000</v>
      </c>
      <c r="W31" s="37">
        <v>535604084000</v>
      </c>
      <c r="X31" s="16">
        <f t="shared" si="8"/>
        <v>0.84311069036728037</v>
      </c>
      <c r="Y31" s="16">
        <f t="shared" si="9"/>
        <v>2.0960585028406951</v>
      </c>
      <c r="Z31" s="16">
        <f t="shared" si="10"/>
        <v>2.105145194446552</v>
      </c>
      <c r="AA31" s="16">
        <f t="shared" si="11"/>
        <v>0.90904050173517581</v>
      </c>
      <c r="AB31" s="16">
        <f t="shared" si="12"/>
        <v>-677.87582253850655</v>
      </c>
      <c r="AC31" s="16">
        <f t="shared" si="13"/>
        <v>-2.9165905585202982</v>
      </c>
      <c r="AD31" s="16">
        <f t="shared" si="14"/>
        <v>3.5955480853476542</v>
      </c>
      <c r="AE31" s="84">
        <f t="shared" si="15"/>
        <v>16820.869000582301</v>
      </c>
      <c r="AF31" s="17">
        <f t="shared" si="16"/>
        <v>5.7451323940987724E-2</v>
      </c>
      <c r="AG31" s="17">
        <f t="shared" si="17"/>
        <v>0.11315503710759607</v>
      </c>
      <c r="AH31" s="17">
        <f t="shared" si="0"/>
        <v>0.1244774428549727</v>
      </c>
      <c r="AI31" s="34">
        <f t="shared" si="22"/>
        <v>0.41821253087304833</v>
      </c>
      <c r="AJ31" s="54">
        <f t="shared" si="23"/>
        <v>0.15208005770172581</v>
      </c>
      <c r="AK31">
        <f t="shared" si="19"/>
        <v>0.27812171503842087</v>
      </c>
      <c r="AL31">
        <f t="shared" si="2"/>
        <v>5.9449960639095533E-5</v>
      </c>
      <c r="AM31">
        <f t="shared" si="3"/>
        <v>17.406039259028564</v>
      </c>
      <c r="AN31">
        <f t="shared" si="4"/>
        <v>8.8374324781417108</v>
      </c>
      <c r="AO31">
        <f t="shared" si="5"/>
        <v>8.0335840539806807</v>
      </c>
      <c r="AP31">
        <f t="shared" si="6"/>
        <v>2.3911287352208914</v>
      </c>
      <c r="AQ31">
        <f t="shared" si="7"/>
        <v>6.5754840911574171</v>
      </c>
      <c r="AR31" s="17">
        <f>IF(X31&gt;'cash outliers'!$D$19,'cash outliers'!$D$19,Dataset!X31)</f>
        <v>0.84311069036728037</v>
      </c>
      <c r="AS31" s="17">
        <f>IF(Y31&gt;'cash outliers'!$I$19,'cash outliers'!$I$19,Dataset!Y31)</f>
        <v>2.0960585028406951</v>
      </c>
      <c r="AT31" s="17">
        <f>IF(Z31&gt;'cash outliers'!$N$19,'cash outliers'!$N$19,Dataset!Z31)</f>
        <v>2.105145194446552</v>
      </c>
    </row>
    <row r="32" spans="1:46" s="8" customFormat="1" outlineLevel="2" x14ac:dyDescent="0.25">
      <c r="A32" s="8" t="s">
        <v>271</v>
      </c>
      <c r="B32" s="8" t="s">
        <v>105</v>
      </c>
      <c r="C32" s="8">
        <v>2015</v>
      </c>
      <c r="D32" s="13">
        <f>(1593166+2522355+79235+370690)</f>
        <v>4565446</v>
      </c>
      <c r="E32" s="13">
        <f>D32+1625520</f>
        <v>6190966</v>
      </c>
      <c r="F32" s="12">
        <f>7499013</f>
        <v>7499013</v>
      </c>
      <c r="G32" s="12">
        <f>3117470</f>
        <v>3117470</v>
      </c>
      <c r="H32" s="12">
        <v>7405727</v>
      </c>
      <c r="I32" s="13">
        <f>6330287</f>
        <v>6330287</v>
      </c>
      <c r="J32" s="13">
        <f>K32-(I32+6946145)</f>
        <v>13645758</v>
      </c>
      <c r="K32" s="13">
        <f>26922190</f>
        <v>26922190</v>
      </c>
      <c r="L32" s="13">
        <f>37690824</f>
        <v>37690824</v>
      </c>
      <c r="M32" s="13">
        <f>10523197</f>
        <v>10523197</v>
      </c>
      <c r="N32" s="15">
        <f>(1451288+262600+2304648+1934022+295477+7540)*1000</f>
        <v>6255575000</v>
      </c>
      <c r="O32" s="15">
        <f>19060768*1000</f>
        <v>19060768000</v>
      </c>
      <c r="P32" s="15">
        <f>18355113*1000</f>
        <v>18355113000</v>
      </c>
      <c r="Q32" s="53">
        <f t="shared" si="20"/>
        <v>7405727000</v>
      </c>
      <c r="R32" s="15">
        <f>798158*1000</f>
        <v>798158000</v>
      </c>
      <c r="S32" s="56">
        <v>2085487</v>
      </c>
      <c r="T32" s="37">
        <v>51617220137.465393</v>
      </c>
      <c r="U32" s="37">
        <v>3363280282</v>
      </c>
      <c r="V32" s="37">
        <v>2895590000</v>
      </c>
      <c r="W32" s="37">
        <v>80200588000</v>
      </c>
      <c r="X32" s="16">
        <f t="shared" si="8"/>
        <v>1.4644715105518258</v>
      </c>
      <c r="Y32" s="16">
        <f t="shared" si="9"/>
        <v>1.9858943309799293</v>
      </c>
      <c r="Z32" s="16">
        <f t="shared" si="10"/>
        <v>2.4054804055852985</v>
      </c>
      <c r="AA32" s="16">
        <f t="shared" si="11"/>
        <v>1.0384446012399924</v>
      </c>
      <c r="AB32" s="16">
        <f t="shared" si="12"/>
        <v>382.7201991669092</v>
      </c>
      <c r="AC32" s="16">
        <f t="shared" si="13"/>
        <v>0.52999756651645502</v>
      </c>
      <c r="AD32" s="16">
        <f t="shared" si="14"/>
        <v>0.19648620576721804</v>
      </c>
      <c r="AE32" s="84">
        <f t="shared" si="15"/>
        <v>3551.0779976091917</v>
      </c>
      <c r="AF32" s="17">
        <f t="shared" si="16"/>
        <v>7.7999116415455705E-2</v>
      </c>
      <c r="AG32" s="17">
        <f t="shared" si="17"/>
        <v>0.23766369393700704</v>
      </c>
      <c r="AH32" s="17">
        <f t="shared" si="0"/>
        <v>0.22886506767257117</v>
      </c>
      <c r="AI32" s="34">
        <f t="shared" si="22"/>
        <v>0.64360151745353034</v>
      </c>
      <c r="AJ32" s="54">
        <f t="shared" si="23"/>
        <v>4.1935855657317625E-2</v>
      </c>
      <c r="AK32">
        <f t="shared" si="19"/>
        <v>5.0894157994211779</v>
      </c>
      <c r="AL32">
        <f t="shared" si="2"/>
        <v>2.8160462841797973E-4</v>
      </c>
      <c r="AM32">
        <f t="shared" si="3"/>
        <v>12.820658053016709</v>
      </c>
      <c r="AN32">
        <f t="shared" si="4"/>
        <v>4.207626261439203</v>
      </c>
      <c r="AO32">
        <f t="shared" si="5"/>
        <v>4.3693867752271531</v>
      </c>
      <c r="AP32">
        <f t="shared" si="6"/>
        <v>1.5537564360578167</v>
      </c>
      <c r="AQ32">
        <f t="shared" si="7"/>
        <v>23.845942435790132</v>
      </c>
      <c r="AR32" s="17">
        <f>IF(X32&gt;'cash outliers'!$D$19,'cash outliers'!$D$19,Dataset!X32)</f>
        <v>1.4644715105518258</v>
      </c>
      <c r="AS32" s="17">
        <f>IF(Y32&gt;'cash outliers'!$I$19,'cash outliers'!$I$19,Dataset!Y32)</f>
        <v>1.9858943309799293</v>
      </c>
      <c r="AT32" s="17">
        <f>IF(Z32&gt;'cash outliers'!$N$19,'cash outliers'!$N$19,Dataset!Z32)</f>
        <v>2.4054804055852985</v>
      </c>
    </row>
    <row r="33" spans="1:46" s="8" customFormat="1" outlineLevel="2" x14ac:dyDescent="0.25">
      <c r="A33" s="8" t="s">
        <v>272</v>
      </c>
      <c r="B33" s="8" t="s">
        <v>107</v>
      </c>
      <c r="C33" s="8">
        <v>2015</v>
      </c>
      <c r="D33" s="13">
        <f>(23630)*1000</f>
        <v>23630000</v>
      </c>
      <c r="E33" s="12">
        <f>D33+((14262+5291+9164)*1000)</f>
        <v>52347000</v>
      </c>
      <c r="F33" s="12">
        <f>E33+((-80+499)*1000)</f>
        <v>52766000</v>
      </c>
      <c r="G33" s="12">
        <f>(10051+1463+9819+5225+1448+562+304+1036)*1000</f>
        <v>29908000</v>
      </c>
      <c r="H33" s="13">
        <v>86221000</v>
      </c>
      <c r="I33" s="13">
        <f>-42439*1000</f>
        <v>-42439000</v>
      </c>
      <c r="J33" s="13">
        <f>K33-(I33+(70609*1000))</f>
        <v>5155000</v>
      </c>
      <c r="K33" s="13">
        <f>33325*1000</f>
        <v>33325000</v>
      </c>
      <c r="L33" s="13">
        <f>154602*1000</f>
        <v>154602000</v>
      </c>
      <c r="M33" s="13">
        <f>121548*1000</f>
        <v>121548000</v>
      </c>
      <c r="N33" s="15">
        <f>(45482+15295+8254+3524)*1000000</f>
        <v>72555000000</v>
      </c>
      <c r="O33" s="15">
        <f>165296*1000000</f>
        <v>165296000000</v>
      </c>
      <c r="P33" s="15">
        <f>159214*1000000</f>
        <v>159214000000</v>
      </c>
      <c r="Q33" s="53">
        <f t="shared" si="20"/>
        <v>86221000000</v>
      </c>
      <c r="R33" s="15">
        <f>6328*1000000</f>
        <v>6328000000</v>
      </c>
      <c r="S33" s="56">
        <v>19798738</v>
      </c>
      <c r="T33" s="37">
        <v>321067280804.23413</v>
      </c>
      <c r="U33" s="37">
        <v>78781031000</v>
      </c>
      <c r="V33" s="37">
        <v>57390000000</v>
      </c>
      <c r="W33" s="37">
        <v>1142485112000</v>
      </c>
      <c r="X33" s="16">
        <f t="shared" si="8"/>
        <v>0.79008960813160356</v>
      </c>
      <c r="Y33" s="16">
        <f t="shared" si="9"/>
        <v>1.7502674869600108</v>
      </c>
      <c r="Z33" s="16">
        <f t="shared" si="10"/>
        <v>1.7642771164905711</v>
      </c>
      <c r="AA33" s="16">
        <f t="shared" si="11"/>
        <v>1.0382001582775384</v>
      </c>
      <c r="AB33" s="16">
        <f t="shared" si="12"/>
        <v>319.61633110150757</v>
      </c>
      <c r="AC33" s="16">
        <f t="shared" si="13"/>
        <v>-0.24116117514650523</v>
      </c>
      <c r="AD33" s="16">
        <f t="shared" si="14"/>
        <v>0.55769653691414078</v>
      </c>
      <c r="AE33" s="84">
        <f t="shared" si="15"/>
        <v>4354.8735277975802</v>
      </c>
      <c r="AF33" s="17">
        <f t="shared" si="16"/>
        <v>6.350629801467382E-2</v>
      </c>
      <c r="AG33" s="17">
        <f t="shared" si="17"/>
        <v>0.14468109760365963</v>
      </c>
      <c r="AH33" s="17">
        <f t="shared" si="0"/>
        <v>0.13935761466622945</v>
      </c>
      <c r="AI33" s="34">
        <f t="shared" si="22"/>
        <v>0.2810253520434795</v>
      </c>
      <c r="AJ33" s="54">
        <f t="shared" si="23"/>
        <v>6.8955849115695078E-2</v>
      </c>
      <c r="AK33">
        <f t="shared" si="19"/>
        <v>1.7930898505004582</v>
      </c>
      <c r="AL33">
        <f t="shared" si="2"/>
        <v>2.2962779369295182E-4</v>
      </c>
      <c r="AM33">
        <f t="shared" si="3"/>
        <v>15.746469740197092</v>
      </c>
      <c r="AN33">
        <f t="shared" si="4"/>
        <v>6.9117529280805341</v>
      </c>
      <c r="AO33">
        <f t="shared" si="5"/>
        <v>7.1757829839084506</v>
      </c>
      <c r="AP33">
        <f t="shared" si="6"/>
        <v>3.5583978197286723</v>
      </c>
      <c r="AQ33">
        <f t="shared" si="7"/>
        <v>14.502033008428134</v>
      </c>
      <c r="AR33" s="17">
        <f>IF(X33&gt;'cash outliers'!$D$19,'cash outliers'!$D$19,Dataset!X33)</f>
        <v>0.79008960813160356</v>
      </c>
      <c r="AS33" s="17">
        <f>IF(Y33&gt;'cash outliers'!$I$19,'cash outliers'!$I$19,Dataset!Y33)</f>
        <v>1.7502674869600108</v>
      </c>
      <c r="AT33" s="17">
        <f>IF(Z33&gt;'cash outliers'!$N$19,'cash outliers'!$N$19,Dataset!Z33)</f>
        <v>1.7642771164905711</v>
      </c>
    </row>
    <row r="34" spans="1:46" s="8" customFormat="1" outlineLevel="2" x14ac:dyDescent="0.25">
      <c r="A34" s="8" t="s">
        <v>291</v>
      </c>
      <c r="B34" s="8" t="s">
        <v>109</v>
      </c>
      <c r="C34" s="8">
        <v>2015</v>
      </c>
      <c r="D34" s="12">
        <f>(5842166+704220)</f>
        <v>6546386</v>
      </c>
      <c r="E34" s="12">
        <f>D34+3899710+1160677</f>
        <v>11606773</v>
      </c>
      <c r="F34" s="12">
        <f>E34+592359+529+188335+20073+4066+(149095+45083+5633)</f>
        <v>12611946</v>
      </c>
      <c r="G34" s="12">
        <f>M34-H34</f>
        <v>5130875</v>
      </c>
      <c r="H34" s="13">
        <v>10321122</v>
      </c>
      <c r="I34" s="12">
        <f>817366</f>
        <v>817366</v>
      </c>
      <c r="J34" s="12">
        <f>K34-(I34+44146964)</f>
        <v>1063073</v>
      </c>
      <c r="K34" s="13">
        <f>46027403</f>
        <v>46027403</v>
      </c>
      <c r="L34" s="12">
        <f>61919980</f>
        <v>61919980</v>
      </c>
      <c r="M34" s="13">
        <f>15451997</f>
        <v>15451997</v>
      </c>
      <c r="N34" s="14">
        <f>(11288542+1272879+6869090+1945462+556786+653931+529927+360280+279795+288340)*1000</f>
        <v>24045032000</v>
      </c>
      <c r="O34" s="15">
        <f>47793019*1000</f>
        <v>47793019000</v>
      </c>
      <c r="P34" s="14">
        <f>42849241*1000</f>
        <v>42849241000</v>
      </c>
      <c r="Q34" s="53">
        <f t="shared" si="20"/>
        <v>10321122000</v>
      </c>
      <c r="R34" s="14">
        <f>4948160*1000</f>
        <v>4948160000</v>
      </c>
      <c r="S34" s="56">
        <v>10044258</v>
      </c>
      <c r="T34" s="37">
        <v>89860464966.19133</v>
      </c>
      <c r="U34" s="37">
        <v>26666987000</v>
      </c>
      <c r="V34" s="37">
        <v>8496607000</v>
      </c>
      <c r="W34" s="37">
        <v>408364221000</v>
      </c>
      <c r="X34" s="16">
        <f t="shared" si="8"/>
        <v>1.2758810144468535</v>
      </c>
      <c r="Y34" s="16">
        <f t="shared" si="9"/>
        <v>2.2621430067970865</v>
      </c>
      <c r="Z34" s="16">
        <f t="shared" si="10"/>
        <v>2.4580497478500254</v>
      </c>
      <c r="AA34" s="16">
        <f t="shared" ref="AA34:AA51" si="24">O34/P34</f>
        <v>1.1153760926593776</v>
      </c>
      <c r="AB34" s="16">
        <f t="shared" si="12"/>
        <v>492.63569295014128</v>
      </c>
      <c r="AC34" s="16">
        <f t="shared" ref="AC34:AC51" si="25">(I34+J34)/L34</f>
        <v>3.036885670828705E-2</v>
      </c>
      <c r="AD34" s="16">
        <f t="shared" ref="AD34:AD51" si="26">H34/L34</f>
        <v>0.16668484066047826</v>
      </c>
      <c r="AE34" s="84">
        <f t="shared" ref="AE34:AE51" si="27">Q34/S34</f>
        <v>1027.5644054543402</v>
      </c>
      <c r="AF34" s="17">
        <f t="shared" ref="AF34:AF51" si="28">N34/W34</f>
        <v>5.888133867633815E-2</v>
      </c>
      <c r="AG34" s="17">
        <f t="shared" ref="AG34:AG51" si="29">O34/W34</f>
        <v>0.11703527523289069</v>
      </c>
      <c r="AH34" s="17">
        <f t="shared" ref="AH34:AH51" si="30">P34/W34</f>
        <v>0.10492897956405442</v>
      </c>
      <c r="AI34" s="34">
        <f t="shared" si="22"/>
        <v>0.22004979952979606</v>
      </c>
      <c r="AJ34" s="54">
        <f t="shared" si="23"/>
        <v>6.5301967284739179E-2</v>
      </c>
      <c r="AK34">
        <f t="shared" ref="AK34:AK51" si="31">1/AD34</f>
        <v>5.9993458075585187</v>
      </c>
      <c r="AL34">
        <f t="shared" ref="AL34:AL51" si="32">1/AE34</f>
        <v>9.7317500946118071E-4</v>
      </c>
      <c r="AM34">
        <f t="shared" ref="AM34:AM51" si="33">1/AF34</f>
        <v>16.983309525227497</v>
      </c>
      <c r="AN34">
        <f t="shared" ref="AN34:AN51" si="34">1/AG34</f>
        <v>8.5444324201406907</v>
      </c>
      <c r="AO34">
        <f t="shared" ref="AO34:AO51" si="35">1/AH34</f>
        <v>9.5302556467686319</v>
      </c>
      <c r="AP34">
        <f t="shared" ref="AP34:AP51" si="36">1/AI34</f>
        <v>4.544425862403906</v>
      </c>
      <c r="AQ34">
        <f t="shared" ref="AQ34:AQ51" si="37">1/AJ34</f>
        <v>15.313474334389559</v>
      </c>
      <c r="AR34" s="17">
        <f>IF(X34&gt;'cash outliers'!$D$19,'cash outliers'!$D$19,Dataset!X34)</f>
        <v>1.2758810144468535</v>
      </c>
      <c r="AS34" s="17">
        <f>IF(Y34&gt;'cash outliers'!$I$19,'cash outliers'!$I$19,Dataset!Y34)</f>
        <v>2.2621430067970865</v>
      </c>
      <c r="AT34" s="17">
        <f>IF(Z34&gt;'cash outliers'!$N$19,'cash outliers'!$N$19,Dataset!Z34)</f>
        <v>2.4580497478500254</v>
      </c>
    </row>
    <row r="35" spans="1:46" s="8" customFormat="1" outlineLevel="2" x14ac:dyDescent="0.25">
      <c r="A35" s="8" t="s">
        <v>273</v>
      </c>
      <c r="B35" s="8" t="s">
        <v>111</v>
      </c>
      <c r="C35" s="8">
        <v>2015</v>
      </c>
      <c r="D35" s="59">
        <f>(619864944+12321902948)/1000</f>
        <v>12941767.892000001</v>
      </c>
      <c r="E35" s="59">
        <f>D35+((254134400+546280316+77518757+242250332+1337747615+4197099182)/1000)</f>
        <v>19596798.494000003</v>
      </c>
      <c r="F35" s="59">
        <f>E35+((11864216+14480078+62035091+32650195+17742633)/1000)</f>
        <v>19735570.707000002</v>
      </c>
      <c r="G35" s="12">
        <f>M35-H35</f>
        <v>2636972.5799999996</v>
      </c>
      <c r="H35" s="13">
        <v>3344551.622</v>
      </c>
      <c r="I35" s="59">
        <f>8252404909/1000</f>
        <v>8252404.909</v>
      </c>
      <c r="J35" s="59">
        <f>K35-(I35+(4646106954/1000))</f>
        <v>6739685.6379999984</v>
      </c>
      <c r="K35" s="59">
        <f>19638197501/1000</f>
        <v>19638197.500999998</v>
      </c>
      <c r="L35" s="59">
        <f>25627804349/1000</f>
        <v>25627804.348999999</v>
      </c>
      <c r="M35" s="59">
        <f>5981524202/1000</f>
        <v>5981524.2019999996</v>
      </c>
      <c r="N35" s="15">
        <f>732975064+1804380378+2734507198+92936834</f>
        <v>5364799474</v>
      </c>
      <c r="O35" s="15">
        <f>10063270*1000</f>
        <v>10063270000</v>
      </c>
      <c r="P35" s="15">
        <f>7945428117</f>
        <v>7945428117</v>
      </c>
      <c r="Q35" s="53">
        <f t="shared" si="20"/>
        <v>3344551622</v>
      </c>
      <c r="R35" s="15">
        <f>2127491285</f>
        <v>2127491285</v>
      </c>
      <c r="S35" s="56">
        <v>757059</v>
      </c>
      <c r="T35" s="37">
        <v>9752071185.4734612</v>
      </c>
      <c r="U35" s="37">
        <v>5531853</v>
      </c>
      <c r="V35" s="37">
        <v>1725459000</v>
      </c>
      <c r="W35" s="37">
        <v>41165870000</v>
      </c>
      <c r="X35" s="16">
        <f t="shared" si="8"/>
        <v>4.9078128419522677</v>
      </c>
      <c r="Y35" s="16">
        <f t="shared" si="9"/>
        <v>7.4315518646765772</v>
      </c>
      <c r="Z35" s="16">
        <f t="shared" si="10"/>
        <v>7.4841774452580792</v>
      </c>
      <c r="AA35" s="16">
        <f t="shared" si="24"/>
        <v>1.2665484920150087</v>
      </c>
      <c r="AB35" s="16">
        <f t="shared" si="12"/>
        <v>2810.2053935030162</v>
      </c>
      <c r="AC35" s="16">
        <f t="shared" si="25"/>
        <v>0.58499317158962905</v>
      </c>
      <c r="AD35" s="16">
        <f t="shared" si="26"/>
        <v>0.13050480550162719</v>
      </c>
      <c r="AE35" s="84">
        <f t="shared" si="27"/>
        <v>4417.8216255272046</v>
      </c>
      <c r="AF35" s="17">
        <f t="shared" si="28"/>
        <v>0.13032153757469478</v>
      </c>
      <c r="AG35" s="17">
        <f t="shared" si="29"/>
        <v>0.24445663361420517</v>
      </c>
      <c r="AH35" s="17">
        <f t="shared" si="30"/>
        <v>0.19301008619519033</v>
      </c>
      <c r="AI35" s="34">
        <f t="shared" si="22"/>
        <v>0.23689700194538488</v>
      </c>
      <c r="AJ35" s="54">
        <f t="shared" si="23"/>
        <v>1.3437959649583502E-4</v>
      </c>
      <c r="AK35">
        <f t="shared" si="31"/>
        <v>7.6625530849707415</v>
      </c>
      <c r="AL35">
        <f t="shared" si="32"/>
        <v>2.2635590224416634E-4</v>
      </c>
      <c r="AM35">
        <f t="shared" si="33"/>
        <v>7.6733287422030481</v>
      </c>
      <c r="AN35">
        <f t="shared" si="34"/>
        <v>4.0907051087767696</v>
      </c>
      <c r="AO35">
        <f t="shared" si="35"/>
        <v>5.181076386799309</v>
      </c>
      <c r="AP35">
        <f t="shared" si="36"/>
        <v>4.2212437970428338</v>
      </c>
      <c r="AQ35">
        <f t="shared" si="37"/>
        <v>7441.6059139677063</v>
      </c>
      <c r="AR35" s="17">
        <f>IF(X35&gt;'cash outliers'!$D$19,'cash outliers'!$D$19,Dataset!X35)</f>
        <v>4.9078128419522677</v>
      </c>
      <c r="AS35" s="17">
        <f>IF(Y35&gt;'cash outliers'!$I$19,'cash outliers'!$I$19,Dataset!Y35)</f>
        <v>7.4315518646765772</v>
      </c>
      <c r="AT35" s="17">
        <f>IF(Z35&gt;'cash outliers'!$N$19,'cash outliers'!$N$19,Dataset!Z35)</f>
        <v>7.4841774452580792</v>
      </c>
    </row>
    <row r="36" spans="1:46" s="8" customFormat="1" outlineLevel="2" x14ac:dyDescent="0.25">
      <c r="A36" s="8" t="s">
        <v>274</v>
      </c>
      <c r="B36" s="8" t="s">
        <v>113</v>
      </c>
      <c r="C36" s="8">
        <v>2015</v>
      </c>
      <c r="D36" s="12">
        <f>9781924+1164739+25094812</f>
        <v>36041475</v>
      </c>
      <c r="E36" s="12">
        <f>D36+(1583519+1777198+2852169+486154+1098085+1512405)</f>
        <v>45351005</v>
      </c>
      <c r="F36" s="12">
        <f>E36+2387304+589867+30508+102011+26490</f>
        <v>48487185</v>
      </c>
      <c r="G36" s="12">
        <f>M36-H36</f>
        <v>8951441</v>
      </c>
      <c r="H36" s="13">
        <v>42047154</v>
      </c>
      <c r="I36" s="12">
        <f>-9344065</f>
        <v>-9344065</v>
      </c>
      <c r="J36" s="12">
        <f>K36-(I36+23555913)</f>
        <v>14384333</v>
      </c>
      <c r="K36" s="13">
        <f>28596181</f>
        <v>28596181</v>
      </c>
      <c r="L36" s="12">
        <f>76829044</f>
        <v>76829044</v>
      </c>
      <c r="M36" s="13">
        <f>50998595</f>
        <v>50998595</v>
      </c>
      <c r="N36" s="14">
        <f>25353753*1000</f>
        <v>25353753000</v>
      </c>
      <c r="O36" s="15">
        <f>63109136*1000</f>
        <v>63109136000</v>
      </c>
      <c r="P36" s="14">
        <f>62502687*1000</f>
        <v>62502687000</v>
      </c>
      <c r="Q36" s="53">
        <f t="shared" si="20"/>
        <v>42047154000</v>
      </c>
      <c r="R36" s="14">
        <f>1010287*1000</f>
        <v>1010287000</v>
      </c>
      <c r="S36" s="56">
        <v>11614959</v>
      </c>
      <c r="T36" s="37">
        <v>312097590701.23151</v>
      </c>
      <c r="U36" s="37">
        <v>15330801497</v>
      </c>
      <c r="V36" s="37">
        <v>17712676000</v>
      </c>
      <c r="W36" s="37">
        <v>504992961000</v>
      </c>
      <c r="X36" s="16">
        <f t="shared" si="8"/>
        <v>4.0263321849521212</v>
      </c>
      <c r="Y36" s="16">
        <f t="shared" si="9"/>
        <v>5.0663356882986772</v>
      </c>
      <c r="Z36" s="16">
        <f t="shared" si="10"/>
        <v>5.4166904524087238</v>
      </c>
      <c r="AA36" s="16">
        <f t="shared" si="24"/>
        <v>1.0097027668586471</v>
      </c>
      <c r="AB36" s="16">
        <f t="shared" si="12"/>
        <v>86.981538204310496</v>
      </c>
      <c r="AC36" s="16">
        <f t="shared" si="25"/>
        <v>6.560367977506007E-2</v>
      </c>
      <c r="AD36" s="16">
        <f t="shared" si="26"/>
        <v>0.54728201485885986</v>
      </c>
      <c r="AE36" s="84">
        <f t="shared" si="27"/>
        <v>3620.0863042219953</v>
      </c>
      <c r="AF36" s="17">
        <f t="shared" si="28"/>
        <v>5.02061512893048E-2</v>
      </c>
      <c r="AG36" s="17">
        <f t="shared" si="29"/>
        <v>0.12497032805176071</v>
      </c>
      <c r="AH36" s="17">
        <f t="shared" si="30"/>
        <v>0.12376942220388691</v>
      </c>
      <c r="AI36" s="34">
        <f t="shared" si="22"/>
        <v>0.61802364548449917</v>
      </c>
      <c r="AJ36" s="54">
        <f t="shared" si="23"/>
        <v>3.035844592099176E-2</v>
      </c>
      <c r="AK36">
        <f t="shared" si="31"/>
        <v>1.8272115159090199</v>
      </c>
      <c r="AL36">
        <f t="shared" si="32"/>
        <v>2.7623650818316977E-4</v>
      </c>
      <c r="AM36">
        <f t="shared" si="33"/>
        <v>19.91787807509208</v>
      </c>
      <c r="AN36">
        <f t="shared" si="34"/>
        <v>8.001899455571694</v>
      </c>
      <c r="AO36">
        <f t="shared" si="35"/>
        <v>8.0795400204154433</v>
      </c>
      <c r="AP36">
        <f t="shared" si="36"/>
        <v>1.6180610682234509</v>
      </c>
      <c r="AQ36">
        <f t="shared" si="37"/>
        <v>32.939762549193482</v>
      </c>
      <c r="AR36" s="17">
        <f>IF(X36&gt;'cash outliers'!$D$19,'cash outliers'!$D$19,Dataset!X36)</f>
        <v>4.0263321849521212</v>
      </c>
      <c r="AS36" s="17">
        <f>IF(Y36&gt;'cash outliers'!$I$19,'cash outliers'!$I$19,Dataset!Y36)</f>
        <v>5.0663356882986772</v>
      </c>
      <c r="AT36" s="17">
        <f>IF(Z36&gt;'cash outliers'!$N$19,'cash outliers'!$N$19,Dataset!Z36)</f>
        <v>5.4166904524087238</v>
      </c>
    </row>
    <row r="37" spans="1:46" s="8" customFormat="1" outlineLevel="2" x14ac:dyDescent="0.25">
      <c r="A37" s="8" t="s">
        <v>275</v>
      </c>
      <c r="B37" s="8" t="s">
        <v>115</v>
      </c>
      <c r="C37" s="8">
        <v>2015</v>
      </c>
      <c r="D37" s="12">
        <f>5099809+429879+97664</f>
        <v>5627352</v>
      </c>
      <c r="E37" s="12">
        <f>D37+100616+40545+499336+360364+3927+38451+123+68874+23</f>
        <v>6739611</v>
      </c>
      <c r="F37" s="12">
        <f>6848677</f>
        <v>6848677</v>
      </c>
      <c r="G37" s="12">
        <f>1789538</f>
        <v>1789538</v>
      </c>
      <c r="H37" s="12">
        <v>2387954</v>
      </c>
      <c r="I37" s="12">
        <f>1850730</f>
        <v>1850730</v>
      </c>
      <c r="J37" s="12">
        <f>K37-(I37+10427558)</f>
        <v>6532167</v>
      </c>
      <c r="K37" s="13">
        <f>18810455</f>
        <v>18810455</v>
      </c>
      <c r="L37" s="12">
        <f>23225758</f>
        <v>23225758</v>
      </c>
      <c r="M37" s="13">
        <f>4177492</f>
        <v>4177492</v>
      </c>
      <c r="N37" s="14">
        <f>(3003481+357681+2553855+578464+772690+424560+251786+242548+1057+183762+113229+186921)*1000</f>
        <v>8670034000</v>
      </c>
      <c r="O37" s="15">
        <f>18727453*1000</f>
        <v>18727453000</v>
      </c>
      <c r="P37" s="14">
        <f>17465609*1000</f>
        <v>17465609000</v>
      </c>
      <c r="Q37" s="53">
        <f t="shared" si="20"/>
        <v>2387954000</v>
      </c>
      <c r="R37" s="14">
        <f>1321131*1000</f>
        <v>1321131000</v>
      </c>
      <c r="S37" s="56">
        <v>3911921</v>
      </c>
      <c r="T37" s="37">
        <v>48987971455.875473</v>
      </c>
      <c r="U37" s="37">
        <v>4817000</v>
      </c>
      <c r="V37" s="37">
        <v>2223048000</v>
      </c>
      <c r="W37" s="37">
        <v>173186712000</v>
      </c>
      <c r="X37" s="16">
        <f t="shared" si="8"/>
        <v>3.1445836858451734</v>
      </c>
      <c r="Y37" s="16">
        <f t="shared" si="9"/>
        <v>3.7661178471761985</v>
      </c>
      <c r="Z37" s="16">
        <f t="shared" si="10"/>
        <v>3.827064303747671</v>
      </c>
      <c r="AA37" s="16">
        <f t="shared" si="24"/>
        <v>1.0722473519245737</v>
      </c>
      <c r="AB37" s="16">
        <f t="shared" si="12"/>
        <v>337.71924330782753</v>
      </c>
      <c r="AC37" s="16">
        <f t="shared" si="25"/>
        <v>0.36093104044225383</v>
      </c>
      <c r="AD37" s="16">
        <f t="shared" si="26"/>
        <v>0.10281490059441763</v>
      </c>
      <c r="AE37" s="84">
        <f t="shared" si="27"/>
        <v>610.43001635257974</v>
      </c>
      <c r="AF37" s="17">
        <f t="shared" si="28"/>
        <v>5.0061773792437377E-2</v>
      </c>
      <c r="AG37" s="17">
        <f t="shared" si="29"/>
        <v>0.10813446819176288</v>
      </c>
      <c r="AH37" s="17">
        <f t="shared" si="30"/>
        <v>0.10084843576220789</v>
      </c>
      <c r="AI37" s="34">
        <f t="shared" si="22"/>
        <v>0.28286218319033318</v>
      </c>
      <c r="AJ37" s="54">
        <f t="shared" si="23"/>
        <v>2.7813912189752755E-5</v>
      </c>
      <c r="AK37">
        <f t="shared" si="31"/>
        <v>9.7262166691653196</v>
      </c>
      <c r="AL37">
        <f t="shared" si="32"/>
        <v>1.6381894291096059E-3</v>
      </c>
      <c r="AM37">
        <f t="shared" si="33"/>
        <v>19.975320973366426</v>
      </c>
      <c r="AN37">
        <f t="shared" si="34"/>
        <v>9.2477451151526058</v>
      </c>
      <c r="AO37">
        <f t="shared" si="35"/>
        <v>9.9158702109957915</v>
      </c>
      <c r="AP37">
        <f t="shared" si="36"/>
        <v>3.5352905387395559</v>
      </c>
      <c r="AQ37">
        <f t="shared" si="37"/>
        <v>35953.230641478098</v>
      </c>
      <c r="AR37" s="17">
        <f>IF(X37&gt;'cash outliers'!$D$19,'cash outliers'!$D$19,Dataset!X37)</f>
        <v>3.1445836858451734</v>
      </c>
      <c r="AS37" s="17">
        <f>IF(Y37&gt;'cash outliers'!$I$19,'cash outliers'!$I$19,Dataset!Y37)</f>
        <v>3.7661178471761985</v>
      </c>
      <c r="AT37" s="17">
        <f>IF(Z37&gt;'cash outliers'!$N$19,'cash outliers'!$N$19,Dataset!Z37)</f>
        <v>3.827064303747671</v>
      </c>
    </row>
    <row r="38" spans="1:46" s="8" customFormat="1" outlineLevel="2" x14ac:dyDescent="0.25">
      <c r="A38" s="8" t="s">
        <v>276</v>
      </c>
      <c r="B38" s="8" t="s">
        <v>117</v>
      </c>
      <c r="C38" s="8">
        <v>2015</v>
      </c>
      <c r="D38" s="12">
        <f>6400466+1567994</f>
        <v>7968460</v>
      </c>
      <c r="E38" s="12">
        <f>D38+1220869+665554</f>
        <v>9854883</v>
      </c>
      <c r="F38" s="12">
        <f>10574342</f>
        <v>10574342</v>
      </c>
      <c r="G38" s="12">
        <f>2944031</f>
        <v>2944031</v>
      </c>
      <c r="H38" s="12">
        <v>12540536</v>
      </c>
      <c r="I38" s="12">
        <f>-38221</f>
        <v>-38221</v>
      </c>
      <c r="J38" s="12">
        <f>K38-(I38+11750266)</f>
        <v>4123549</v>
      </c>
      <c r="K38" s="13">
        <f>15835594</f>
        <v>15835594</v>
      </c>
      <c r="L38" s="12">
        <f>31784365</f>
        <v>31784365</v>
      </c>
      <c r="M38" s="13">
        <v>15484567</v>
      </c>
      <c r="N38" s="14">
        <f>10427732*1000</f>
        <v>10427732000</v>
      </c>
      <c r="O38" s="14">
        <f>25937.5*1000000</f>
        <v>25937500000</v>
      </c>
      <c r="P38" s="14">
        <f>24015403*1000</f>
        <v>24015403000</v>
      </c>
      <c r="Q38" s="53">
        <f t="shared" si="20"/>
        <v>12540536000</v>
      </c>
      <c r="R38" s="14">
        <f>-36827*1000</f>
        <v>-36827000</v>
      </c>
      <c r="S38" s="56">
        <v>4029631</v>
      </c>
      <c r="T38" s="37">
        <v>97601394637.001251</v>
      </c>
      <c r="U38" s="37">
        <v>135800000</v>
      </c>
      <c r="V38" s="37">
        <v>11287737000</v>
      </c>
      <c r="W38" s="37">
        <v>173170241000</v>
      </c>
      <c r="X38" s="16">
        <f t="shared" si="8"/>
        <v>2.7066494884055228</v>
      </c>
      <c r="Y38" s="16">
        <f t="shared" si="9"/>
        <v>3.3474114233172139</v>
      </c>
      <c r="Z38" s="16">
        <f t="shared" si="10"/>
        <v>3.5917903038385126</v>
      </c>
      <c r="AA38" s="16">
        <f t="shared" si="24"/>
        <v>1.0800360085566751</v>
      </c>
      <c r="AB38" s="16">
        <f t="shared" si="12"/>
        <v>-9.1390502008744718</v>
      </c>
      <c r="AC38" s="16">
        <f t="shared" si="25"/>
        <v>0.12853262917160685</v>
      </c>
      <c r="AD38" s="16">
        <f t="shared" si="26"/>
        <v>0.39455046529952698</v>
      </c>
      <c r="AE38" s="84">
        <f t="shared" si="27"/>
        <v>3112.0804857814524</v>
      </c>
      <c r="AF38" s="17">
        <f t="shared" si="28"/>
        <v>6.0216651197014852E-2</v>
      </c>
      <c r="AG38" s="17">
        <f t="shared" si="29"/>
        <v>0.14978035400435805</v>
      </c>
      <c r="AH38" s="17">
        <f t="shared" si="30"/>
        <v>0.13868088917194496</v>
      </c>
      <c r="AI38" s="34">
        <f t="shared" si="22"/>
        <v>0.56361528443562803</v>
      </c>
      <c r="AJ38" s="54">
        <f t="shared" si="23"/>
        <v>7.8419940525462453E-4</v>
      </c>
      <c r="AK38">
        <f t="shared" si="31"/>
        <v>2.5345300232781121</v>
      </c>
      <c r="AL38">
        <f t="shared" si="32"/>
        <v>3.2132845039478376E-4</v>
      </c>
      <c r="AM38">
        <f t="shared" si="33"/>
        <v>16.606702301133168</v>
      </c>
      <c r="AN38">
        <f t="shared" si="34"/>
        <v>6.6764430265060248</v>
      </c>
      <c r="AO38">
        <f t="shared" si="35"/>
        <v>7.2107988777036143</v>
      </c>
      <c r="AP38">
        <f t="shared" si="36"/>
        <v>1.7742599031914874</v>
      </c>
      <c r="AQ38">
        <f t="shared" si="37"/>
        <v>1275.1858689248895</v>
      </c>
      <c r="AR38" s="17">
        <f>IF(X38&gt;'cash outliers'!$D$19,'cash outliers'!$D$19,Dataset!X38)</f>
        <v>2.7066494884055228</v>
      </c>
      <c r="AS38" s="17">
        <f>IF(Y38&gt;'cash outliers'!$I$19,'cash outliers'!$I$19,Dataset!Y38)</f>
        <v>3.3474114233172139</v>
      </c>
      <c r="AT38" s="17">
        <f>IF(Z38&gt;'cash outliers'!$N$19,'cash outliers'!$N$19,Dataset!Z38)</f>
        <v>3.5917903038385126</v>
      </c>
    </row>
    <row r="39" spans="1:46" s="8" customFormat="1" outlineLevel="2" x14ac:dyDescent="0.25">
      <c r="A39" s="8" t="s">
        <v>292</v>
      </c>
      <c r="B39" s="8" t="s">
        <v>119</v>
      </c>
      <c r="C39" s="8">
        <v>2015</v>
      </c>
      <c r="D39" s="12">
        <f>967839+1115909+8076018</f>
        <v>10159766</v>
      </c>
      <c r="E39" s="12">
        <f>D39+(2347468+719380+1816805+20587+9758+46481+973+8528+128522+8499)</f>
        <v>15266767</v>
      </c>
      <c r="F39" s="12">
        <f>19374533</f>
        <v>19374533</v>
      </c>
      <c r="G39" s="12">
        <f>14210567</f>
        <v>14210567</v>
      </c>
      <c r="H39" s="12">
        <v>37417617</v>
      </c>
      <c r="I39" s="12">
        <f>-19479158</f>
        <v>-19479158</v>
      </c>
      <c r="J39" s="12">
        <f>K39-(I39+29682728)</f>
        <v>2474767</v>
      </c>
      <c r="K39" s="13">
        <f>12678337</f>
        <v>12678337</v>
      </c>
      <c r="L39" s="12">
        <v>63518800</v>
      </c>
      <c r="M39" s="15">
        <f>51628184</f>
        <v>51628184</v>
      </c>
      <c r="N39" s="14">
        <f>35044195*1000</f>
        <v>35044195000</v>
      </c>
      <c r="O39" s="15">
        <f>74464*1000000</f>
        <v>74464000000</v>
      </c>
      <c r="P39" s="14">
        <f>72890705*1000</f>
        <v>72890705000</v>
      </c>
      <c r="Q39" s="53">
        <f t="shared" si="20"/>
        <v>37417617000</v>
      </c>
      <c r="R39" s="14">
        <f>1415140*1000</f>
        <v>1415140000</v>
      </c>
      <c r="S39" s="56">
        <v>12804290</v>
      </c>
      <c r="T39" s="37">
        <v>201173745770.79883</v>
      </c>
      <c r="U39" s="37">
        <v>20588980000</v>
      </c>
      <c r="V39" s="37">
        <v>17564940000</v>
      </c>
      <c r="W39" s="37">
        <v>629709649000</v>
      </c>
      <c r="X39" s="16">
        <f t="shared" si="8"/>
        <v>0.71494444943681701</v>
      </c>
      <c r="Y39" s="16">
        <f t="shared" si="9"/>
        <v>1.0743249723955419</v>
      </c>
      <c r="Z39" s="16">
        <f t="shared" si="10"/>
        <v>1.3633891596302949</v>
      </c>
      <c r="AA39" s="16">
        <f t="shared" si="24"/>
        <v>1.0215843021411304</v>
      </c>
      <c r="AB39" s="16">
        <f t="shared" si="12"/>
        <v>110.52077077292064</v>
      </c>
      <c r="AC39" s="16">
        <f t="shared" si="25"/>
        <v>-0.26770642707355935</v>
      </c>
      <c r="AD39" s="16">
        <f t="shared" si="26"/>
        <v>0.58907940641195988</v>
      </c>
      <c r="AE39" s="84">
        <f t="shared" si="27"/>
        <v>2922.2719104300199</v>
      </c>
      <c r="AF39" s="17">
        <f t="shared" si="28"/>
        <v>5.5651354645194585E-2</v>
      </c>
      <c r="AG39" s="17">
        <f t="shared" si="29"/>
        <v>0.11825132442904651</v>
      </c>
      <c r="AH39" s="17">
        <f t="shared" si="30"/>
        <v>0.11575287930834929</v>
      </c>
      <c r="AI39" s="34">
        <f t="shared" si="22"/>
        <v>0.31947064189070229</v>
      </c>
      <c r="AJ39" s="54">
        <f t="shared" si="23"/>
        <v>3.2695989386054336E-2</v>
      </c>
      <c r="AK39">
        <f t="shared" si="31"/>
        <v>1.6975640110913532</v>
      </c>
      <c r="AL39">
        <f t="shared" si="32"/>
        <v>3.4219950458095716E-4</v>
      </c>
      <c r="AM39">
        <f t="shared" si="33"/>
        <v>17.969014525800919</v>
      </c>
      <c r="AN39">
        <f t="shared" si="34"/>
        <v>8.4565649038461537</v>
      </c>
      <c r="AO39">
        <f t="shared" si="35"/>
        <v>8.6390939558068478</v>
      </c>
      <c r="AP39">
        <f t="shared" si="36"/>
        <v>3.130178078592027</v>
      </c>
      <c r="AQ39">
        <f t="shared" si="37"/>
        <v>30.584790941561941</v>
      </c>
      <c r="AR39" s="17">
        <f>IF(X39&gt;'cash outliers'!$D$19,'cash outliers'!$D$19,Dataset!X39)</f>
        <v>0.71494444943681701</v>
      </c>
      <c r="AS39" s="17">
        <f>IF(Y39&gt;'cash outliers'!$I$19,'cash outliers'!$I$19,Dataset!Y39)</f>
        <v>1.0743249723955419</v>
      </c>
      <c r="AT39" s="17">
        <f>IF(Z39&gt;'cash outliers'!$N$19,'cash outliers'!$N$19,Dataset!Z39)</f>
        <v>1.3633891596302949</v>
      </c>
    </row>
    <row r="40" spans="1:46" s="8" customFormat="1" outlineLevel="2" x14ac:dyDescent="0.25">
      <c r="A40" s="8" t="s">
        <v>277</v>
      </c>
      <c r="B40" s="8" t="s">
        <v>121</v>
      </c>
      <c r="C40" s="8">
        <v>2015</v>
      </c>
      <c r="D40" s="12">
        <f>949864</f>
        <v>949864</v>
      </c>
      <c r="E40" s="12">
        <f>D40+837091</f>
        <v>1786955</v>
      </c>
      <c r="F40" s="12">
        <f>2289371</f>
        <v>2289371</v>
      </c>
      <c r="G40" s="12">
        <f>1223377</f>
        <v>1223377</v>
      </c>
      <c r="H40" s="12">
        <v>5680792</v>
      </c>
      <c r="I40" s="12">
        <f>-4401796</f>
        <v>-4401796</v>
      </c>
      <c r="J40" s="12">
        <f>K40-(I40+2880172)</f>
        <v>997459</v>
      </c>
      <c r="K40" s="13">
        <f>-524165</f>
        <v>-524165</v>
      </c>
      <c r="L40" s="12">
        <f>6380863</f>
        <v>6380863</v>
      </c>
      <c r="M40" s="13">
        <f>6904169</f>
        <v>6904169</v>
      </c>
      <c r="N40" s="14">
        <f>(1221754+436064+1168781+146007+234329)*1000</f>
        <v>3206935000</v>
      </c>
      <c r="O40" s="14">
        <f>7945834*1000</f>
        <v>7945834000</v>
      </c>
      <c r="P40" s="14">
        <f>7467844*1000</f>
        <v>7467844000</v>
      </c>
      <c r="Q40" s="53">
        <f t="shared" si="20"/>
        <v>5680792000</v>
      </c>
      <c r="R40" s="14">
        <f>472990*1000</f>
        <v>472990000</v>
      </c>
      <c r="S40" s="56">
        <v>1056420</v>
      </c>
      <c r="T40" s="37">
        <v>17666179657.651432</v>
      </c>
      <c r="U40" s="37">
        <v>714139000</v>
      </c>
      <c r="V40" s="37">
        <v>2625036000</v>
      </c>
      <c r="W40" s="37">
        <v>52905465000</v>
      </c>
      <c r="X40" s="16">
        <f t="shared" si="8"/>
        <v>0.77642787137570834</v>
      </c>
      <c r="Y40" s="16">
        <f t="shared" si="9"/>
        <v>1.4606740195377221</v>
      </c>
      <c r="Z40" s="16">
        <f t="shared" si="10"/>
        <v>1.8713536383306208</v>
      </c>
      <c r="AA40" s="16">
        <f t="shared" si="24"/>
        <v>1.0640064254154211</v>
      </c>
      <c r="AB40" s="16">
        <f t="shared" si="12"/>
        <v>447.72912288673064</v>
      </c>
      <c r="AC40" s="16">
        <f t="shared" si="25"/>
        <v>-0.53352297330314102</v>
      </c>
      <c r="AD40" s="16">
        <f t="shared" si="26"/>
        <v>0.89028584378006548</v>
      </c>
      <c r="AE40" s="84">
        <f t="shared" si="27"/>
        <v>5377.399140493364</v>
      </c>
      <c r="AF40" s="17">
        <f t="shared" si="28"/>
        <v>6.061632763269352E-2</v>
      </c>
      <c r="AG40" s="17">
        <f t="shared" si="29"/>
        <v>0.1501892857382503</v>
      </c>
      <c r="AH40" s="17">
        <f t="shared" si="30"/>
        <v>0.14115449131767388</v>
      </c>
      <c r="AI40" s="34">
        <f t="shared" si="22"/>
        <v>0.33391975021203257</v>
      </c>
      <c r="AJ40" s="54">
        <f t="shared" si="23"/>
        <v>1.3498397566300569E-2</v>
      </c>
      <c r="AK40">
        <f t="shared" si="31"/>
        <v>1.1232347531823028</v>
      </c>
      <c r="AL40">
        <f t="shared" si="32"/>
        <v>1.8596350649698141E-4</v>
      </c>
      <c r="AM40">
        <f t="shared" si="33"/>
        <v>16.497205275442127</v>
      </c>
      <c r="AN40">
        <f t="shared" si="34"/>
        <v>6.6582645698362182</v>
      </c>
      <c r="AO40">
        <f t="shared" si="35"/>
        <v>7.0844362844215816</v>
      </c>
      <c r="AP40">
        <f t="shared" si="36"/>
        <v>2.9947315166743489</v>
      </c>
      <c r="AQ40">
        <f t="shared" si="37"/>
        <v>74.082867621009356</v>
      </c>
      <c r="AR40" s="17">
        <f>IF(X40&gt;'cash outliers'!$D$19,'cash outliers'!$D$19,Dataset!X40)</f>
        <v>0.77642787137570834</v>
      </c>
      <c r="AS40" s="17">
        <f>IF(Y40&gt;'cash outliers'!$I$19,'cash outliers'!$I$19,Dataset!Y40)</f>
        <v>1.4606740195377221</v>
      </c>
      <c r="AT40" s="17">
        <f>IF(Z40&gt;'cash outliers'!$N$19,'cash outliers'!$N$19,Dataset!Z40)</f>
        <v>1.8713536383306208</v>
      </c>
    </row>
    <row r="41" spans="1:46" s="8" customFormat="1" outlineLevel="2" x14ac:dyDescent="0.25">
      <c r="A41" s="8" t="s">
        <v>278</v>
      </c>
      <c r="B41" s="8" t="s">
        <v>123</v>
      </c>
      <c r="C41" s="8">
        <v>2015</v>
      </c>
      <c r="D41" s="12">
        <f>1717856+4805910</f>
        <v>6523766</v>
      </c>
      <c r="E41" s="12">
        <f>D41+(389505+219+2774+15093+472433+612121+54+19348+603244+113139)</f>
        <v>8751696</v>
      </c>
      <c r="F41" s="12">
        <f>E41+(10160+673732+60285+35556+38527+550)</f>
        <v>9570506</v>
      </c>
      <c r="G41" s="12">
        <f>M41-H41</f>
        <v>2883321</v>
      </c>
      <c r="H41" s="12">
        <v>7388874</v>
      </c>
      <c r="I41" s="12">
        <f>-2682548</f>
        <v>-2682548</v>
      </c>
      <c r="J41" s="12">
        <f>K41-(I41+12814344)</f>
        <v>6132463</v>
      </c>
      <c r="K41" s="13">
        <f>16264259</f>
        <v>16264259</v>
      </c>
      <c r="L41" s="12">
        <f>26411515</f>
        <v>26411515</v>
      </c>
      <c r="M41" s="13">
        <f>10272195</f>
        <v>10272195</v>
      </c>
      <c r="N41" s="14">
        <f>10205227*1000</f>
        <v>10205227000</v>
      </c>
      <c r="O41" s="14">
        <f>23558826*1000</f>
        <v>23558826000</v>
      </c>
      <c r="P41" s="14">
        <f>22443487*1000</f>
        <v>22443487000</v>
      </c>
      <c r="Q41" s="53">
        <f t="shared" si="20"/>
        <v>7388874000</v>
      </c>
      <c r="R41" s="14">
        <f>1115339*1000</f>
        <v>1115339000</v>
      </c>
      <c r="S41" s="56">
        <v>4896991</v>
      </c>
      <c r="T41" s="37">
        <v>70346807736.011169</v>
      </c>
      <c r="U41" s="37">
        <v>9339497000</v>
      </c>
      <c r="V41" s="37">
        <v>3108192000</v>
      </c>
      <c r="W41" s="37">
        <v>186285746000</v>
      </c>
      <c r="X41" s="16">
        <f t="shared" si="8"/>
        <v>2.2625874815880715</v>
      </c>
      <c r="Y41" s="16">
        <f t="shared" si="9"/>
        <v>3.0352832723099508</v>
      </c>
      <c r="Z41" s="16">
        <f t="shared" si="10"/>
        <v>3.3192648338495783</v>
      </c>
      <c r="AA41" s="16">
        <f t="shared" si="24"/>
        <v>1.049695441710996</v>
      </c>
      <c r="AB41" s="16">
        <f t="shared" si="12"/>
        <v>227.76006735564758</v>
      </c>
      <c r="AC41" s="16">
        <f t="shared" si="25"/>
        <v>0.1306216246966522</v>
      </c>
      <c r="AD41" s="16">
        <f t="shared" si="26"/>
        <v>0.2797595669918973</v>
      </c>
      <c r="AE41" s="84">
        <f t="shared" si="27"/>
        <v>1508.8600326200315</v>
      </c>
      <c r="AF41" s="17">
        <f t="shared" si="28"/>
        <v>5.4782650949579362E-2</v>
      </c>
      <c r="AG41" s="17">
        <f t="shared" si="29"/>
        <v>0.1264660689605312</v>
      </c>
      <c r="AH41" s="17">
        <f t="shared" si="30"/>
        <v>0.12047882074670382</v>
      </c>
      <c r="AI41" s="34">
        <f t="shared" si="22"/>
        <v>0.37762850484551391</v>
      </c>
      <c r="AJ41" s="54">
        <f t="shared" si="23"/>
        <v>5.0135328121132791E-2</v>
      </c>
      <c r="AK41">
        <f t="shared" si="31"/>
        <v>3.5744979546274571</v>
      </c>
      <c r="AL41">
        <f t="shared" si="32"/>
        <v>6.62751997124325E-4</v>
      </c>
      <c r="AM41">
        <f t="shared" si="33"/>
        <v>18.253954174659711</v>
      </c>
      <c r="AN41">
        <f t="shared" si="34"/>
        <v>7.9072593006120089</v>
      </c>
      <c r="AO41">
        <f t="shared" si="35"/>
        <v>8.300214044279306</v>
      </c>
      <c r="AP41">
        <f t="shared" si="36"/>
        <v>2.6481051805374052</v>
      </c>
      <c r="AQ41">
        <f t="shared" si="37"/>
        <v>19.946014865682809</v>
      </c>
      <c r="AR41" s="17">
        <f>IF(X41&gt;'cash outliers'!$D$19,'cash outliers'!$D$19,Dataset!X41)</f>
        <v>2.2625874815880715</v>
      </c>
      <c r="AS41" s="17">
        <f>IF(Y41&gt;'cash outliers'!$I$19,'cash outliers'!$I$19,Dataset!Y41)</f>
        <v>3.0352832723099508</v>
      </c>
      <c r="AT41" s="17">
        <f>IF(Z41&gt;'cash outliers'!$N$19,'cash outliers'!$N$19,Dataset!Z41)</f>
        <v>3.3192648338495783</v>
      </c>
    </row>
    <row r="42" spans="1:46" s="8" customFormat="1" outlineLevel="2" x14ac:dyDescent="0.25">
      <c r="A42" s="8" t="s">
        <v>279</v>
      </c>
      <c r="B42" s="8" t="s">
        <v>125</v>
      </c>
      <c r="C42" s="8">
        <v>2015</v>
      </c>
      <c r="D42" s="12">
        <f>1279569+1019116</f>
        <v>2298685</v>
      </c>
      <c r="E42" s="12">
        <f>D42+833052</f>
        <v>3131737</v>
      </c>
      <c r="F42" s="12">
        <f>E42+1098+27001+23689+6564</f>
        <v>3190089</v>
      </c>
      <c r="G42" s="12">
        <f>M42-H42</f>
        <v>374664</v>
      </c>
      <c r="H42" s="12">
        <v>689360</v>
      </c>
      <c r="I42" s="12">
        <f>889332</f>
        <v>889332</v>
      </c>
      <c r="J42" s="12">
        <f>K42-(I42+3715867)</f>
        <v>1543936</v>
      </c>
      <c r="K42" s="13">
        <f>6149135</f>
        <v>6149135</v>
      </c>
      <c r="L42" s="12">
        <f>7243710</f>
        <v>7243710</v>
      </c>
      <c r="M42" s="13">
        <f>1064024</f>
        <v>1064024</v>
      </c>
      <c r="N42" s="14">
        <f>(871402+151901+101678+20669+331649)*1000</f>
        <v>1477299000</v>
      </c>
      <c r="O42" s="14">
        <f>3855002*1000</f>
        <v>3855002000</v>
      </c>
      <c r="P42" s="14">
        <f>3693048*1000</f>
        <v>3693048000</v>
      </c>
      <c r="Q42" s="53">
        <f t="shared" si="20"/>
        <v>689360000</v>
      </c>
      <c r="R42" s="14">
        <f>161954*1000</f>
        <v>161954000</v>
      </c>
      <c r="S42" s="56">
        <v>858577</v>
      </c>
      <c r="T42" s="37">
        <v>9804568288.2822113</v>
      </c>
      <c r="U42" s="37"/>
      <c r="V42" s="37">
        <v>555504000</v>
      </c>
      <c r="W42" s="37">
        <v>38637376000</v>
      </c>
      <c r="X42" s="16">
        <f t="shared" si="8"/>
        <v>6.1353239168962057</v>
      </c>
      <c r="Y42" s="16">
        <f t="shared" si="9"/>
        <v>8.3587881408408595</v>
      </c>
      <c r="Z42" s="16">
        <f t="shared" si="10"/>
        <v>8.5145330215873418</v>
      </c>
      <c r="AA42" s="16">
        <f t="shared" si="24"/>
        <v>1.0438537489899942</v>
      </c>
      <c r="AB42" s="16">
        <f>V42/S42</f>
        <v>647.00545204448758</v>
      </c>
      <c r="AC42" s="16">
        <f t="shared" si="25"/>
        <v>0.33591460729377626</v>
      </c>
      <c r="AD42" s="16">
        <f t="shared" si="26"/>
        <v>9.5166703250130116E-2</v>
      </c>
      <c r="AE42" s="84">
        <f t="shared" si="27"/>
        <v>802.90993120011365</v>
      </c>
      <c r="AF42" s="17">
        <f t="shared" si="28"/>
        <v>3.8234972271408908E-2</v>
      </c>
      <c r="AG42" s="17">
        <f t="shared" si="29"/>
        <v>9.9773908041788345E-2</v>
      </c>
      <c r="AH42" s="17">
        <f t="shared" si="30"/>
        <v>9.5582267284403583E-2</v>
      </c>
      <c r="AI42" s="34">
        <f t="shared" si="22"/>
        <v>0.25375864779953511</v>
      </c>
      <c r="AJ42" s="54"/>
      <c r="AK42">
        <f t="shared" si="31"/>
        <v>10.507876871300917</v>
      </c>
      <c r="AL42">
        <f t="shared" si="32"/>
        <v>1.2454697110363235E-3</v>
      </c>
      <c r="AM42">
        <f t="shared" si="33"/>
        <v>26.154066306143847</v>
      </c>
      <c r="AN42">
        <f t="shared" si="34"/>
        <v>10.022660429229349</v>
      </c>
      <c r="AO42">
        <f t="shared" si="35"/>
        <v>10.46219166390472</v>
      </c>
      <c r="AP42">
        <f t="shared" si="36"/>
        <v>3.9407523986728621</v>
      </c>
      <c r="AQ42" t="e">
        <f t="shared" si="37"/>
        <v>#DIV/0!</v>
      </c>
      <c r="AR42" s="17">
        <f>IF(X42&gt;'cash outliers'!$D$19,'cash outliers'!$D$19,Dataset!X42)</f>
        <v>6.1353239168962057</v>
      </c>
      <c r="AS42" s="17">
        <f>IF(Y42&gt;'cash outliers'!$I$19,'cash outliers'!$I$19,Dataset!Y42)</f>
        <v>8.3587881408408595</v>
      </c>
      <c r="AT42" s="17">
        <f>IF(Z42&gt;'cash outliers'!$N$19,'cash outliers'!$N$19,Dataset!Z42)</f>
        <v>8.5145330215873418</v>
      </c>
    </row>
    <row r="43" spans="1:46" s="8" customFormat="1" outlineLevel="2" x14ac:dyDescent="0.25">
      <c r="A43" s="8" t="s">
        <v>280</v>
      </c>
      <c r="B43" s="8" t="s">
        <v>127</v>
      </c>
      <c r="C43" s="8">
        <v>2015</v>
      </c>
      <c r="D43" s="12">
        <f>5458668+924449+296522</f>
        <v>6679639</v>
      </c>
      <c r="E43" s="12">
        <f>D43+2136431+557409</f>
        <v>9373479</v>
      </c>
      <c r="F43" s="12">
        <f>E43+106088+26972+292+10197</f>
        <v>9517028</v>
      </c>
      <c r="G43" s="12">
        <f>M43-H43</f>
        <v>1797872</v>
      </c>
      <c r="H43" s="12">
        <v>3861556</v>
      </c>
      <c r="I43" s="12">
        <f>3361452</f>
        <v>3361452</v>
      </c>
      <c r="J43" s="12">
        <f>K43-(I43+27432234)</f>
        <v>1200817</v>
      </c>
      <c r="K43" s="13">
        <f>31994503</f>
        <v>31994503</v>
      </c>
      <c r="L43" s="12">
        <f>37970332</f>
        <v>37970332</v>
      </c>
      <c r="M43" s="13">
        <f>5659428</f>
        <v>5659428</v>
      </c>
      <c r="N43" s="14">
        <f>(7713695+862156+4336333+719370)*1000</f>
        <v>13631554000</v>
      </c>
      <c r="O43" s="15">
        <f>29202982*1000</f>
        <v>29202982000</v>
      </c>
      <c r="P43" s="14">
        <f>(27799611)*1000</f>
        <v>27799611000</v>
      </c>
      <c r="Q43" s="53">
        <f t="shared" si="20"/>
        <v>3861556000</v>
      </c>
      <c r="R43" s="14">
        <f>1403507*1000</f>
        <v>1403507000</v>
      </c>
      <c r="S43" s="56">
        <v>6601198</v>
      </c>
      <c r="T43" s="37">
        <v>44616206726.794815</v>
      </c>
      <c r="U43" s="37">
        <v>1442208000</v>
      </c>
      <c r="V43" s="37">
        <v>2178722000</v>
      </c>
      <c r="W43" s="37">
        <v>277706507000</v>
      </c>
      <c r="X43" s="16">
        <f t="shared" si="8"/>
        <v>3.7153028691697743</v>
      </c>
      <c r="Y43" s="16">
        <f t="shared" si="9"/>
        <v>5.2136520286205021</v>
      </c>
      <c r="Z43" s="16">
        <f t="shared" si="10"/>
        <v>5.2934958662240694</v>
      </c>
      <c r="AA43" s="16">
        <f t="shared" si="24"/>
        <v>1.0504816776033306</v>
      </c>
      <c r="AB43" s="16">
        <f t="shared" ref="AB43:AB51" si="38">R43/S43</f>
        <v>212.61398309821945</v>
      </c>
      <c r="AC43" s="16">
        <f t="shared" si="25"/>
        <v>0.12015351880515557</v>
      </c>
      <c r="AD43" s="16">
        <f t="shared" si="26"/>
        <v>0.10169929512336105</v>
      </c>
      <c r="AE43" s="84">
        <f t="shared" si="27"/>
        <v>584.97806004304073</v>
      </c>
      <c r="AF43" s="17">
        <f t="shared" si="28"/>
        <v>4.9086188679043088E-2</v>
      </c>
      <c r="AG43" s="17">
        <f t="shared" si="29"/>
        <v>0.10515771601995627</v>
      </c>
      <c r="AH43" s="17">
        <f t="shared" si="30"/>
        <v>0.10010428383660452</v>
      </c>
      <c r="AI43" s="34">
        <f t="shared" si="22"/>
        <v>0.16065956541232509</v>
      </c>
      <c r="AJ43" s="54">
        <f t="shared" ref="AJ43:AJ51" si="39">U43/$W43</f>
        <v>5.193281265101937E-3</v>
      </c>
      <c r="AK43">
        <f t="shared" si="31"/>
        <v>9.8329098425608734</v>
      </c>
      <c r="AL43">
        <f t="shared" si="32"/>
        <v>1.709465821549655E-3</v>
      </c>
      <c r="AM43">
        <f t="shared" si="33"/>
        <v>20.372329303027374</v>
      </c>
      <c r="AN43">
        <f t="shared" si="34"/>
        <v>9.5095256710427734</v>
      </c>
      <c r="AO43">
        <f t="shared" si="35"/>
        <v>9.9895824801289486</v>
      </c>
      <c r="AP43">
        <f t="shared" si="36"/>
        <v>6.2243414977100668</v>
      </c>
      <c r="AQ43">
        <f t="shared" si="37"/>
        <v>192.5564876910959</v>
      </c>
      <c r="AR43" s="17">
        <f>IF(X43&gt;'cash outliers'!$D$19,'cash outliers'!$D$19,Dataset!X43)</f>
        <v>3.7153028691697743</v>
      </c>
      <c r="AS43" s="17">
        <f>IF(Y43&gt;'cash outliers'!$I$19,'cash outliers'!$I$19,Dataset!Y43)</f>
        <v>5.2136520286205021</v>
      </c>
      <c r="AT43" s="17">
        <f>IF(Z43&gt;'cash outliers'!$N$19,'cash outliers'!$N$19,Dataset!Z43)</f>
        <v>5.2934958662240694</v>
      </c>
    </row>
    <row r="44" spans="1:46" s="8" customFormat="1" outlineLevel="2" x14ac:dyDescent="0.25">
      <c r="A44" s="8" t="s">
        <v>281</v>
      </c>
      <c r="B44" s="8" t="s">
        <v>129</v>
      </c>
      <c r="C44" s="8">
        <v>2015</v>
      </c>
      <c r="D44" s="12">
        <f>34464378+1648134</f>
        <v>36112512</v>
      </c>
      <c r="E44" s="12">
        <f>D44+3562293+3241745+794730+3032343+329068+312111+314311+507987+321274</f>
        <v>48528374</v>
      </c>
      <c r="F44" s="12">
        <f>56373625</f>
        <v>56373625</v>
      </c>
      <c r="G44" s="12">
        <f>24380157</f>
        <v>24380157</v>
      </c>
      <c r="H44" s="12">
        <v>89546294</v>
      </c>
      <c r="I44" s="12">
        <f>-10654836</f>
        <v>-10654836</v>
      </c>
      <c r="J44" s="12">
        <f>K44-(I44+82469782)</f>
        <v>75892710</v>
      </c>
      <c r="K44" s="12">
        <f>147707656</f>
        <v>147707656</v>
      </c>
      <c r="L44" s="12">
        <f>270196989</f>
        <v>270196989</v>
      </c>
      <c r="M44" s="12">
        <f>113926451</f>
        <v>113926451</v>
      </c>
      <c r="N44" s="14">
        <f>(29072568+4541039+3495904+4808823+3987325+2056729+1522941+2287677)*1000</f>
        <v>51773006000</v>
      </c>
      <c r="O44" s="15">
        <f>138072048*1000</f>
        <v>138072048000</v>
      </c>
      <c r="P44" s="14">
        <f>133671964*1000</f>
        <v>133671964000</v>
      </c>
      <c r="Q44" s="53">
        <f t="shared" si="20"/>
        <v>89546294000</v>
      </c>
      <c r="R44" s="14">
        <f>4587368*1000</f>
        <v>4587368000</v>
      </c>
      <c r="S44" s="56">
        <v>27473794</v>
      </c>
      <c r="T44" s="37">
        <v>342065168007.85162</v>
      </c>
      <c r="U44" s="37">
        <v>79341351379</v>
      </c>
      <c r="V44" s="37">
        <v>46970000000</v>
      </c>
      <c r="W44" s="37">
        <v>1284262294000</v>
      </c>
      <c r="X44" s="16">
        <f t="shared" si="8"/>
        <v>1.4812255720912708</v>
      </c>
      <c r="Y44" s="16">
        <f t="shared" si="9"/>
        <v>1.9904865255789781</v>
      </c>
      <c r="Z44" s="16">
        <f t="shared" si="10"/>
        <v>2.3122748963429562</v>
      </c>
      <c r="AA44" s="16">
        <f t="shared" si="24"/>
        <v>1.0329170296323318</v>
      </c>
      <c r="AB44" s="16">
        <f t="shared" si="38"/>
        <v>166.97249750070921</v>
      </c>
      <c r="AC44" s="16">
        <f t="shared" si="25"/>
        <v>0.24144559952886818</v>
      </c>
      <c r="AD44" s="16">
        <f t="shared" si="26"/>
        <v>0.33141114685034478</v>
      </c>
      <c r="AE44" s="84">
        <f t="shared" si="27"/>
        <v>3259.334841048892</v>
      </c>
      <c r="AF44" s="17">
        <f t="shared" si="28"/>
        <v>4.031342058540574E-2</v>
      </c>
      <c r="AG44" s="17">
        <f t="shared" si="29"/>
        <v>0.10751078548756333</v>
      </c>
      <c r="AH44" s="17">
        <f t="shared" si="30"/>
        <v>0.10408462868100057</v>
      </c>
      <c r="AI44" s="34">
        <f t="shared" si="22"/>
        <v>0.2663514841212426</v>
      </c>
      <c r="AJ44" s="54">
        <f t="shared" si="39"/>
        <v>6.1779709448512389E-2</v>
      </c>
      <c r="AK44">
        <f t="shared" si="31"/>
        <v>3.0174000165769006</v>
      </c>
      <c r="AL44">
        <f t="shared" si="32"/>
        <v>3.0681106691026209E-4</v>
      </c>
      <c r="AM44">
        <f t="shared" si="33"/>
        <v>24.805635083271</v>
      </c>
      <c r="AN44">
        <f t="shared" si="34"/>
        <v>9.3013923716116675</v>
      </c>
      <c r="AO44">
        <f t="shared" si="35"/>
        <v>9.607566579929955</v>
      </c>
      <c r="AP44">
        <f t="shared" si="36"/>
        <v>3.7544374993788368</v>
      </c>
      <c r="AQ44">
        <f t="shared" si="37"/>
        <v>16.186544238014044</v>
      </c>
      <c r="AR44" s="17">
        <f>IF(X44&gt;'cash outliers'!$D$19,'cash outliers'!$D$19,Dataset!X44)</f>
        <v>1.4812255720912708</v>
      </c>
      <c r="AS44" s="17">
        <f>IF(Y44&gt;'cash outliers'!$I$19,'cash outliers'!$I$19,Dataset!Y44)</f>
        <v>1.9904865255789781</v>
      </c>
      <c r="AT44" s="17">
        <f>IF(Z44&gt;'cash outliers'!$N$19,'cash outliers'!$N$19,Dataset!Z44)</f>
        <v>2.3122748963429562</v>
      </c>
    </row>
    <row r="45" spans="1:46" s="8" customFormat="1" outlineLevel="2" x14ac:dyDescent="0.25">
      <c r="A45" s="8" t="s">
        <v>282</v>
      </c>
      <c r="B45" s="8" t="s">
        <v>131</v>
      </c>
      <c r="C45" s="8">
        <v>2015</v>
      </c>
      <c r="D45" s="12">
        <f>(3046854+1254020)</f>
        <v>4300874</v>
      </c>
      <c r="E45" s="12">
        <f>D45+1127243+725418+3992250+98480+132139</f>
        <v>10376404</v>
      </c>
      <c r="F45" s="12">
        <f>E45+77247+101441+52758+87705</f>
        <v>10695555</v>
      </c>
      <c r="G45" s="12">
        <f>M45-H45</f>
        <v>1062157</v>
      </c>
      <c r="H45" s="12">
        <v>6999883</v>
      </c>
      <c r="I45" s="12">
        <f>2041923</f>
        <v>2041923</v>
      </c>
      <c r="J45" s="12">
        <f>K45-(I45+14806371)</f>
        <v>5855773</v>
      </c>
      <c r="K45" s="13">
        <f>22704067</f>
        <v>22704067</v>
      </c>
      <c r="L45" s="12">
        <f>30719680</f>
        <v>30719680</v>
      </c>
      <c r="M45" s="13">
        <f>8062040</f>
        <v>8062040</v>
      </c>
      <c r="N45" s="14">
        <f>6642534*1000</f>
        <v>6642534000</v>
      </c>
      <c r="O45" s="14">
        <f>12595382*1000</f>
        <v>12595382000</v>
      </c>
      <c r="P45" s="14">
        <f>11170344*1000</f>
        <v>11170344000</v>
      </c>
      <c r="Q45" s="53">
        <f t="shared" si="20"/>
        <v>6999883000</v>
      </c>
      <c r="R45" s="14">
        <f>1441326*1000</f>
        <v>1441326000</v>
      </c>
      <c r="S45" s="56">
        <v>2996314</v>
      </c>
      <c r="T45" s="37">
        <v>35663637135.922867</v>
      </c>
      <c r="U45" s="37">
        <v>184231000</v>
      </c>
      <c r="V45" s="37">
        <v>5930000000</v>
      </c>
      <c r="W45" s="37">
        <v>116992288000</v>
      </c>
      <c r="X45" s="16">
        <f t="shared" si="8"/>
        <v>4.0491885851150062</v>
      </c>
      <c r="Y45" s="16">
        <f t="shared" si="9"/>
        <v>9.7691810156125687</v>
      </c>
      <c r="Z45" s="16">
        <f t="shared" si="10"/>
        <v>10.069655427587447</v>
      </c>
      <c r="AA45" s="16">
        <f t="shared" si="24"/>
        <v>1.1275733316717909</v>
      </c>
      <c r="AB45" s="16">
        <f t="shared" si="38"/>
        <v>481.03302924860344</v>
      </c>
      <c r="AC45" s="16">
        <f t="shared" si="25"/>
        <v>0.25708913634517028</v>
      </c>
      <c r="AD45" s="16">
        <f t="shared" si="26"/>
        <v>0.22786314831404494</v>
      </c>
      <c r="AE45" s="84">
        <f t="shared" si="27"/>
        <v>2336.1647010293314</v>
      </c>
      <c r="AF45" s="17">
        <f t="shared" si="28"/>
        <v>5.6777537336478112E-2</v>
      </c>
      <c r="AG45" s="17">
        <f t="shared" si="29"/>
        <v>0.10765993396077526</v>
      </c>
      <c r="AH45" s="17">
        <f t="shared" si="30"/>
        <v>9.5479319115461703E-2</v>
      </c>
      <c r="AI45" s="34">
        <f t="shared" si="22"/>
        <v>0.30483750463896275</v>
      </c>
      <c r="AJ45" s="54">
        <f t="shared" si="39"/>
        <v>1.5747277290619362E-3</v>
      </c>
      <c r="AK45">
        <f t="shared" si="31"/>
        <v>4.3885990665843986</v>
      </c>
      <c r="AL45">
        <f t="shared" si="32"/>
        <v>4.2805201172648171E-4</v>
      </c>
      <c r="AM45">
        <f t="shared" si="33"/>
        <v>17.61259904729129</v>
      </c>
      <c r="AN45">
        <f t="shared" si="34"/>
        <v>9.2885065335850872</v>
      </c>
      <c r="AO45">
        <f t="shared" si="35"/>
        <v>10.473472258329734</v>
      </c>
      <c r="AP45">
        <f t="shared" si="36"/>
        <v>3.2804362481065432</v>
      </c>
      <c r="AQ45">
        <f t="shared" si="37"/>
        <v>635.03041290553699</v>
      </c>
      <c r="AR45" s="17">
        <f>IF(X45&gt;'cash outliers'!$D$19,'cash outliers'!$D$19,Dataset!X45)</f>
        <v>4.0491885851150062</v>
      </c>
      <c r="AS45" s="17">
        <f>IF(Y45&gt;'cash outliers'!$I$19,'cash outliers'!$I$19,Dataset!Y45)</f>
        <v>9.7691810156125687</v>
      </c>
      <c r="AT45" s="17">
        <f>IF(Z45&gt;'cash outliers'!$N$19,'cash outliers'!$N$19,Dataset!Z45)</f>
        <v>10.069655427587447</v>
      </c>
    </row>
    <row r="46" spans="1:46" s="8" customFormat="1" outlineLevel="2" x14ac:dyDescent="0.25">
      <c r="A46" s="8" t="s">
        <v>293</v>
      </c>
      <c r="B46" s="8" t="s">
        <v>133</v>
      </c>
      <c r="C46" s="8">
        <v>2015</v>
      </c>
      <c r="D46" s="13">
        <f>(727373137+58768694)/1000</f>
        <v>786141.83100000001</v>
      </c>
      <c r="E46" s="12">
        <f>D46+((158726506+19380678+297076527+75809397)/1000)</f>
        <v>1337134.939</v>
      </c>
      <c r="F46" s="12">
        <f>1359153313/1000</f>
        <v>1359153.3130000001</v>
      </c>
      <c r="G46" s="12">
        <f>613230306/1000</f>
        <v>613230.30599999998</v>
      </c>
      <c r="H46" s="13">
        <v>2681301.4019999998</v>
      </c>
      <c r="I46" s="13">
        <f>-2047030901/1000</f>
        <v>-2047030.9010000001</v>
      </c>
      <c r="J46" s="13">
        <f>K46-(I46+(2186849359/1000))</f>
        <v>831095.07499999995</v>
      </c>
      <c r="K46" s="13">
        <f>970913533/1000</f>
        <v>970913.53300000005</v>
      </c>
      <c r="L46" s="13">
        <f>4310765390/1000</f>
        <v>4310765.3899999997</v>
      </c>
      <c r="M46" s="12">
        <f>3294531708/1000</f>
        <v>3294531.7080000001</v>
      </c>
      <c r="N46" s="15">
        <f>2998950467</f>
        <v>2998950467</v>
      </c>
      <c r="O46" s="15">
        <f>5886.3*1000000</f>
        <v>5886300000</v>
      </c>
      <c r="P46" s="15">
        <f>5662181197</f>
        <v>5662181197</v>
      </c>
      <c r="Q46" s="58">
        <f>H46*1000</f>
        <v>2681301402</v>
      </c>
      <c r="R46" s="15">
        <f>224225978</f>
        <v>224225978</v>
      </c>
      <c r="S46" s="56">
        <v>626107</v>
      </c>
      <c r="T46" s="37">
        <v>8135597970.3548965</v>
      </c>
      <c r="U46" s="37">
        <v>2096212000</v>
      </c>
      <c r="V46" s="37">
        <v>628470000</v>
      </c>
      <c r="W46" s="37">
        <v>29967864000</v>
      </c>
      <c r="X46" s="16">
        <f t="shared" si="8"/>
        <v>1.281968329530015</v>
      </c>
      <c r="Y46" s="16">
        <f t="shared" si="9"/>
        <v>2.180477588790271</v>
      </c>
      <c r="Z46" s="16">
        <f t="shared" si="10"/>
        <v>2.2163831430079388</v>
      </c>
      <c r="AA46" s="16">
        <f t="shared" si="24"/>
        <v>1.0395817080383696</v>
      </c>
      <c r="AB46" s="16">
        <f t="shared" si="38"/>
        <v>358.12724981512747</v>
      </c>
      <c r="AC46" s="16">
        <f t="shared" si="25"/>
        <v>-0.28206958996671361</v>
      </c>
      <c r="AD46" s="16">
        <f t="shared" si="26"/>
        <v>0.62200123630481319</v>
      </c>
      <c r="AE46" s="84">
        <f t="shared" si="27"/>
        <v>4282.497084364174</v>
      </c>
      <c r="AF46" s="17">
        <f t="shared" si="28"/>
        <v>0.1000722129211478</v>
      </c>
      <c r="AG46" s="17">
        <f t="shared" si="29"/>
        <v>0.19642040553841275</v>
      </c>
      <c r="AH46" s="17">
        <f t="shared" si="30"/>
        <v>0.18894176765484522</v>
      </c>
      <c r="AI46" s="34">
        <f t="shared" si="22"/>
        <v>0.27147740560871797</v>
      </c>
      <c r="AJ46" s="54">
        <f t="shared" si="39"/>
        <v>6.9948662340432399E-2</v>
      </c>
      <c r="AK46">
        <f t="shared" si="31"/>
        <v>1.6077138462630767</v>
      </c>
      <c r="AL46">
        <f t="shared" si="32"/>
        <v>2.335086236605041E-4</v>
      </c>
      <c r="AM46">
        <f t="shared" si="33"/>
        <v>9.9927839188282253</v>
      </c>
      <c r="AN46">
        <f t="shared" si="34"/>
        <v>5.091120737984812</v>
      </c>
      <c r="AO46">
        <f t="shared" si="35"/>
        <v>5.2926359926238158</v>
      </c>
      <c r="AP46">
        <f t="shared" si="36"/>
        <v>3.6835477993380636</v>
      </c>
      <c r="AQ46">
        <f t="shared" si="37"/>
        <v>14.296199048569516</v>
      </c>
      <c r="AR46" s="17">
        <f>IF(X46&gt;'cash outliers'!$D$19,'cash outliers'!$D$19,Dataset!X46)</f>
        <v>1.281968329530015</v>
      </c>
      <c r="AS46" s="17">
        <f>IF(Y46&gt;'cash outliers'!$I$19,'cash outliers'!$I$19,Dataset!Y46)</f>
        <v>2.180477588790271</v>
      </c>
      <c r="AT46" s="17">
        <f>IF(Z46&gt;'cash outliers'!$N$19,'cash outliers'!$N$19,Dataset!Z46)</f>
        <v>2.2163831430079388</v>
      </c>
    </row>
    <row r="47" spans="1:46" s="8" customFormat="1" outlineLevel="2" x14ac:dyDescent="0.25">
      <c r="A47" s="8" t="s">
        <v>283</v>
      </c>
      <c r="B47" s="8" t="s">
        <v>135</v>
      </c>
      <c r="C47" s="8">
        <v>2015</v>
      </c>
      <c r="D47" s="12">
        <f>(4278106+4353876)</f>
        <v>8631982</v>
      </c>
      <c r="E47" s="12">
        <f>D47+3596828+18992</f>
        <v>12247802</v>
      </c>
      <c r="F47" s="12">
        <f>E47+21055+273+225924+116271+5042</f>
        <v>12616367</v>
      </c>
      <c r="G47" s="12">
        <f>M47-H47</f>
        <v>5132311</v>
      </c>
      <c r="H47" s="87">
        <v>14690098</v>
      </c>
      <c r="I47" s="12">
        <f>-4905994</f>
        <v>-4905994</v>
      </c>
      <c r="J47" s="12">
        <f>K47-(I47+23441139)</f>
        <v>2281174</v>
      </c>
      <c r="K47" s="13">
        <f>20816319</f>
        <v>20816319</v>
      </c>
      <c r="L47" s="12">
        <f>43057927</f>
        <v>43057927</v>
      </c>
      <c r="M47" s="13">
        <f>19822409</f>
        <v>19822409</v>
      </c>
      <c r="N47" s="14">
        <f>(12265530+4829677+801165+888348+846197+416051+440896+453376+139832+178954+92+118849+42719+26253+19030+121510)*1000</f>
        <v>21588479000</v>
      </c>
      <c r="O47" s="14">
        <f>38942301*1000</f>
        <v>38942301000</v>
      </c>
      <c r="P47" s="14">
        <f>37671033*1000</f>
        <v>37671033000</v>
      </c>
      <c r="Q47" s="53">
        <f t="shared" si="20"/>
        <v>14690098000</v>
      </c>
      <c r="R47" s="14">
        <f>1171144*1000</f>
        <v>1171144000</v>
      </c>
      <c r="S47" s="56">
        <v>8384065</v>
      </c>
      <c r="T47" s="37">
        <v>101562077300.99554</v>
      </c>
      <c r="U47" s="37">
        <v>5101000000</v>
      </c>
      <c r="V47" s="37">
        <v>7135834000</v>
      </c>
      <c r="W47" s="37">
        <v>437111414000</v>
      </c>
      <c r="X47" s="16">
        <f t="shared" si="8"/>
        <v>1.6818898932664057</v>
      </c>
      <c r="Y47" s="16">
        <f t="shared" si="9"/>
        <v>2.3864107221873345</v>
      </c>
      <c r="Z47" s="16">
        <f t="shared" si="10"/>
        <v>2.4582234007253261</v>
      </c>
      <c r="AA47" s="16">
        <f t="shared" si="24"/>
        <v>1.0337465659622342</v>
      </c>
      <c r="AB47" s="16">
        <f t="shared" si="38"/>
        <v>139.68689412594011</v>
      </c>
      <c r="AC47" s="16">
        <f t="shared" si="25"/>
        <v>-6.0960203680962159E-2</v>
      </c>
      <c r="AD47" s="16">
        <f t="shared" si="26"/>
        <v>0.34117058166780767</v>
      </c>
      <c r="AE47" s="84">
        <f t="shared" si="27"/>
        <v>1752.1450513563527</v>
      </c>
      <c r="AF47" s="17">
        <f t="shared" si="28"/>
        <v>4.9388961963825542E-2</v>
      </c>
      <c r="AG47" s="17">
        <f t="shared" si="29"/>
        <v>8.9090103238530394E-2</v>
      </c>
      <c r="AH47" s="17">
        <f t="shared" si="30"/>
        <v>8.6181764633581501E-2</v>
      </c>
      <c r="AI47" s="34">
        <f t="shared" si="22"/>
        <v>0.23234826190330402</v>
      </c>
      <c r="AJ47" s="34">
        <f t="shared" si="39"/>
        <v>1.1669793642130791E-2</v>
      </c>
      <c r="AK47">
        <f t="shared" si="31"/>
        <v>2.9310850751301998</v>
      </c>
      <c r="AL47">
        <f t="shared" si="32"/>
        <v>5.7072900398622256E-4</v>
      </c>
      <c r="AM47">
        <f t="shared" si="33"/>
        <v>20.247439108609736</v>
      </c>
      <c r="AN47">
        <f t="shared" si="34"/>
        <v>11.224591325510016</v>
      </c>
      <c r="AO47">
        <f t="shared" si="35"/>
        <v>11.60338273707546</v>
      </c>
      <c r="AP47">
        <f t="shared" si="36"/>
        <v>4.3038841427450327</v>
      </c>
      <c r="AQ47">
        <f t="shared" si="37"/>
        <v>85.691318172907273</v>
      </c>
      <c r="AR47" s="17">
        <f>IF(X47&gt;'cash outliers'!$D$19,'cash outliers'!$D$19,Dataset!X47)</f>
        <v>1.6818898932664057</v>
      </c>
      <c r="AS47" s="17">
        <f>IF(Y47&gt;'cash outliers'!$I$19,'cash outliers'!$I$19,Dataset!Y47)</f>
        <v>2.3864107221873345</v>
      </c>
      <c r="AT47" s="17">
        <f>IF(Z47&gt;'cash outliers'!$N$19,'cash outliers'!$N$19,Dataset!Z47)</f>
        <v>2.4582234007253261</v>
      </c>
    </row>
    <row r="48" spans="1:46" s="8" customFormat="1" outlineLevel="2" x14ac:dyDescent="0.25">
      <c r="A48" s="8" t="s">
        <v>284</v>
      </c>
      <c r="B48" s="8" t="s">
        <v>137</v>
      </c>
      <c r="C48" s="8">
        <v>2015</v>
      </c>
      <c r="D48" s="12">
        <f>(10997057)</f>
        <v>10997057</v>
      </c>
      <c r="E48" s="12">
        <f>D48+(3566252+3827532)</f>
        <v>18390841</v>
      </c>
      <c r="F48" s="12">
        <f>E48+3988951+171523+345082</f>
        <v>22896397</v>
      </c>
      <c r="G48" s="12">
        <f>M48-H48</f>
        <v>6375034</v>
      </c>
      <c r="H48" s="87">
        <v>60561614</v>
      </c>
      <c r="I48" s="12">
        <f>-12889664</f>
        <v>-12889664</v>
      </c>
      <c r="J48" s="12">
        <f>K48-(I48+20930238)</f>
        <v>12561246</v>
      </c>
      <c r="K48" s="13">
        <f>20601820</f>
        <v>20601820</v>
      </c>
      <c r="L48" s="12">
        <f>89076182</f>
        <v>89076182</v>
      </c>
      <c r="M48" s="13">
        <f>66936648</f>
        <v>66936648</v>
      </c>
      <c r="N48" s="14">
        <f>(9000790+3393679+2018393+1253179+946397+474183+455112+555976+54483)*1000</f>
        <v>18152192000</v>
      </c>
      <c r="O48" s="14">
        <f>47554*1000000</f>
        <v>47554000000</v>
      </c>
      <c r="P48" s="14">
        <f>47316720*1000</f>
        <v>47316720000</v>
      </c>
      <c r="Q48" s="53">
        <f t="shared" si="20"/>
        <v>60561614000</v>
      </c>
      <c r="R48" s="14">
        <f>301756*1000</f>
        <v>301756000</v>
      </c>
      <c r="S48" s="56">
        <v>7171445</v>
      </c>
      <c r="T48" s="37">
        <v>103400257767.15373</v>
      </c>
      <c r="U48" s="37">
        <v>10878616000</v>
      </c>
      <c r="V48" s="37">
        <v>24819000000</v>
      </c>
      <c r="W48" s="37">
        <v>366789878000</v>
      </c>
      <c r="X48" s="16">
        <f t="shared" si="8"/>
        <v>1.7250193489164136</v>
      </c>
      <c r="Y48" s="16">
        <f t="shared" si="9"/>
        <v>2.8848224182020048</v>
      </c>
      <c r="Z48" s="16">
        <f t="shared" si="10"/>
        <v>3.5915725312210101</v>
      </c>
      <c r="AA48" s="16">
        <f t="shared" si="24"/>
        <v>1.0050147178418116</v>
      </c>
      <c r="AB48" s="16">
        <f t="shared" si="38"/>
        <v>42.077433487951176</v>
      </c>
      <c r="AC48" s="16">
        <f t="shared" si="25"/>
        <v>-3.6869339550273943E-3</v>
      </c>
      <c r="AD48" s="16">
        <f t="shared" si="26"/>
        <v>0.67988560623310057</v>
      </c>
      <c r="AE48" s="84">
        <f t="shared" si="27"/>
        <v>8444.8272279854336</v>
      </c>
      <c r="AF48" s="17">
        <f t="shared" si="28"/>
        <v>4.9489348231141754E-2</v>
      </c>
      <c r="AG48" s="17">
        <f t="shared" si="29"/>
        <v>0.12964916114724409</v>
      </c>
      <c r="AH48" s="17">
        <f t="shared" si="30"/>
        <v>0.1290022512562356</v>
      </c>
      <c r="AI48" s="34">
        <f t="shared" si="22"/>
        <v>0.28190597388064709</v>
      </c>
      <c r="AJ48" s="34">
        <f t="shared" si="39"/>
        <v>2.9658986391113008E-2</v>
      </c>
      <c r="AK48">
        <f t="shared" si="31"/>
        <v>1.4708356682832131</v>
      </c>
      <c r="AL48">
        <f t="shared" si="32"/>
        <v>1.1841568489241387E-4</v>
      </c>
      <c r="AM48">
        <f t="shared" si="33"/>
        <v>20.206368354852131</v>
      </c>
      <c r="AN48">
        <f t="shared" si="34"/>
        <v>7.7131235647895027</v>
      </c>
      <c r="AO48">
        <f t="shared" si="35"/>
        <v>7.7518027031459491</v>
      </c>
      <c r="AP48">
        <f t="shared" si="36"/>
        <v>3.5472820466847517</v>
      </c>
      <c r="AQ48">
        <f t="shared" si="37"/>
        <v>33.716593912313847</v>
      </c>
      <c r="AR48" s="17">
        <f>IF(X48&gt;'cash outliers'!$D$19,'cash outliers'!$D$19,Dataset!X48)</f>
        <v>1.7250193489164136</v>
      </c>
      <c r="AS48" s="17">
        <f>IF(Y48&gt;'cash outliers'!$I$19,'cash outliers'!$I$19,Dataset!Y48)</f>
        <v>2.8848224182020048</v>
      </c>
      <c r="AT48" s="17">
        <f>IF(Z48&gt;'cash outliers'!$N$19,'cash outliers'!$N$19,Dataset!Z48)</f>
        <v>3.5915725312210101</v>
      </c>
    </row>
    <row r="49" spans="1:46" s="8" customFormat="1" outlineLevel="2" x14ac:dyDescent="0.25">
      <c r="A49" s="8" t="s">
        <v>285</v>
      </c>
      <c r="B49" s="8" t="s">
        <v>139</v>
      </c>
      <c r="C49" s="8">
        <v>2015</v>
      </c>
      <c r="D49" s="59">
        <f>3916841+1052442</f>
        <v>4969283</v>
      </c>
      <c r="E49" s="12">
        <f>D49+924713</f>
        <v>5893996</v>
      </c>
      <c r="F49" s="12">
        <f>6714455</f>
        <v>6714455</v>
      </c>
      <c r="G49" s="12">
        <f>3435700</f>
        <v>3435700</v>
      </c>
      <c r="H49" s="72">
        <v>7788151</v>
      </c>
      <c r="I49" s="12">
        <f>-4567049</f>
        <v>-4567049</v>
      </c>
      <c r="J49" s="12">
        <f>K49-(I49+8893105)</f>
        <v>2253093</v>
      </c>
      <c r="K49" s="12">
        <f>6579149</f>
        <v>6579149</v>
      </c>
      <c r="L49" s="12">
        <f>17962285</f>
        <v>17962285</v>
      </c>
      <c r="M49" s="12">
        <f>11223851</f>
        <v>11223851</v>
      </c>
      <c r="N49" s="14">
        <f>(1921597+1265957+907362+197692+640135+249102)*1000</f>
        <v>5181845000</v>
      </c>
      <c r="O49" s="14">
        <f>12257633*1000</f>
        <v>12257633000</v>
      </c>
      <c r="P49" s="14">
        <f>11850306*1000</f>
        <v>11850306000</v>
      </c>
      <c r="Q49" s="53">
        <f t="shared" si="20"/>
        <v>7788151000</v>
      </c>
      <c r="R49" s="14">
        <f>407327*1000</f>
        <v>407327000</v>
      </c>
      <c r="S49" s="56">
        <v>1844375</v>
      </c>
      <c r="T49" s="37">
        <v>22776767766.744152</v>
      </c>
      <c r="U49" s="37">
        <v>2734641574</v>
      </c>
      <c r="V49" s="37">
        <v>2084960000</v>
      </c>
      <c r="W49" s="37">
        <v>68328638000</v>
      </c>
      <c r="X49" s="16">
        <f t="shared" si="8"/>
        <v>1.4463669703408331</v>
      </c>
      <c r="Y49" s="16">
        <f t="shared" si="9"/>
        <v>1.7155153243880432</v>
      </c>
      <c r="Z49" s="16">
        <f t="shared" si="10"/>
        <v>1.9543193526792211</v>
      </c>
      <c r="AA49" s="16">
        <f t="shared" si="24"/>
        <v>1.0343726988990833</v>
      </c>
      <c r="AB49" s="16">
        <f t="shared" si="38"/>
        <v>220.84825482887157</v>
      </c>
      <c r="AC49" s="16">
        <f t="shared" si="25"/>
        <v>-0.12882303114553634</v>
      </c>
      <c r="AD49" s="16">
        <f t="shared" si="26"/>
        <v>0.43358353349810452</v>
      </c>
      <c r="AE49" s="84">
        <f t="shared" si="27"/>
        <v>4222.6504913588615</v>
      </c>
      <c r="AF49" s="17">
        <f t="shared" si="28"/>
        <v>7.5837088981636075E-2</v>
      </c>
      <c r="AG49" s="17">
        <f t="shared" si="29"/>
        <v>0.17939232156215379</v>
      </c>
      <c r="AH49" s="17">
        <f t="shared" si="30"/>
        <v>0.1734310290218283</v>
      </c>
      <c r="AI49" s="34">
        <f t="shared" si="22"/>
        <v>0.33334145730731751</v>
      </c>
      <c r="AJ49" s="34">
        <f t="shared" si="39"/>
        <v>4.0021894977622707E-2</v>
      </c>
      <c r="AK49">
        <f t="shared" si="31"/>
        <v>2.3063606496586928</v>
      </c>
      <c r="AL49">
        <f t="shared" si="32"/>
        <v>2.3681808429240779E-4</v>
      </c>
      <c r="AM49">
        <f t="shared" si="33"/>
        <v>13.186160141802775</v>
      </c>
      <c r="AN49">
        <f t="shared" si="34"/>
        <v>5.5743745958130742</v>
      </c>
      <c r="AO49">
        <f t="shared" si="35"/>
        <v>5.7659808953456562</v>
      </c>
      <c r="AP49">
        <f t="shared" si="36"/>
        <v>2.9999268860160706</v>
      </c>
      <c r="AQ49">
        <f t="shared" si="37"/>
        <v>24.986323125357416</v>
      </c>
      <c r="AR49" s="17">
        <f>IF(X49&gt;'cash outliers'!$D$19,'cash outliers'!$D$19,Dataset!X49)</f>
        <v>1.4463669703408331</v>
      </c>
      <c r="AS49" s="17">
        <f>IF(Y49&gt;'cash outliers'!$I$19,'cash outliers'!$I$19,Dataset!Y49)</f>
        <v>1.7155153243880432</v>
      </c>
      <c r="AT49" s="17">
        <f>IF(Z49&gt;'cash outliers'!$N$19,'cash outliers'!$N$19,Dataset!Z49)</f>
        <v>1.9543193526792211</v>
      </c>
    </row>
    <row r="50" spans="1:46" s="8" customFormat="1" outlineLevel="2" x14ac:dyDescent="0.25">
      <c r="A50" s="8" t="s">
        <v>286</v>
      </c>
      <c r="B50" s="8" t="s">
        <v>141</v>
      </c>
      <c r="C50" s="8">
        <v>2015</v>
      </c>
      <c r="D50" s="12">
        <f>4361079+2500646</f>
        <v>6861725</v>
      </c>
      <c r="E50" s="12">
        <f>D50+6593436</f>
        <v>13455161</v>
      </c>
      <c r="F50" s="12">
        <f>E50+103530+183650+199+25433</f>
        <v>13767973</v>
      </c>
      <c r="G50" s="12">
        <f>M50-H50</f>
        <v>7040958</v>
      </c>
      <c r="H50" s="72">
        <v>15546251</v>
      </c>
      <c r="I50" s="12">
        <f>-8572601</f>
        <v>-8572601</v>
      </c>
      <c r="J50" s="12">
        <f>K50-(I50+22617825)</f>
        <v>7914371</v>
      </c>
      <c r="K50" s="13">
        <f>21959595</f>
        <v>21959595</v>
      </c>
      <c r="L50" s="12">
        <f>43636062</f>
        <v>43636062</v>
      </c>
      <c r="M50" s="13">
        <f>22587209</f>
        <v>22587209</v>
      </c>
      <c r="N50" s="14">
        <f>(8355665+5590876+368867+286310+1067773+191437)*1000</f>
        <v>15860928000</v>
      </c>
      <c r="O50" s="15">
        <f>35656.1*1000000</f>
        <v>35656100000</v>
      </c>
      <c r="P50" s="14">
        <f>34362060*1000</f>
        <v>34362060000</v>
      </c>
      <c r="Q50" s="53">
        <f>H50*1000</f>
        <v>15546251000</v>
      </c>
      <c r="R50" s="14">
        <f>1310154*1000</f>
        <v>1310154000</v>
      </c>
      <c r="S50" s="56">
        <v>5771984</v>
      </c>
      <c r="T50" s="37">
        <v>47735768607.960297</v>
      </c>
      <c r="U50" s="37">
        <v>892844000</v>
      </c>
      <c r="V50" s="37">
        <v>13694133000</v>
      </c>
      <c r="W50" s="37">
        <v>263301072000</v>
      </c>
      <c r="X50" s="16">
        <f t="shared" si="8"/>
        <v>0.97454423105492183</v>
      </c>
      <c r="Y50" s="16">
        <f t="shared" si="9"/>
        <v>1.9109844143367991</v>
      </c>
      <c r="Z50" s="16">
        <f t="shared" si="10"/>
        <v>1.9554118913931882</v>
      </c>
      <c r="AA50" s="16">
        <f t="shared" si="24"/>
        <v>1.0376589762080621</v>
      </c>
      <c r="AB50" s="16">
        <f t="shared" si="38"/>
        <v>226.98503668755839</v>
      </c>
      <c r="AC50" s="16">
        <f t="shared" si="25"/>
        <v>-1.5084541771894997E-2</v>
      </c>
      <c r="AD50" s="16">
        <f t="shared" si="26"/>
        <v>0.35627071480464945</v>
      </c>
      <c r="AE50" s="84">
        <f t="shared" si="27"/>
        <v>2693.3981452478038</v>
      </c>
      <c r="AF50" s="17">
        <f t="shared" si="28"/>
        <v>6.0238752085293445E-2</v>
      </c>
      <c r="AG50" s="17">
        <f t="shared" si="29"/>
        <v>0.13541950182413234</v>
      </c>
      <c r="AH50" s="17">
        <f t="shared" si="30"/>
        <v>0.13050482377071371</v>
      </c>
      <c r="AI50" s="34">
        <f t="shared" si="22"/>
        <v>0.181297281645554</v>
      </c>
      <c r="AJ50" s="34">
        <f t="shared" si="39"/>
        <v>3.3909622669519553E-3</v>
      </c>
      <c r="AK50">
        <f t="shared" si="31"/>
        <v>2.8068543342057191</v>
      </c>
      <c r="AL50">
        <f t="shared" si="32"/>
        <v>3.7127819433765735E-4</v>
      </c>
      <c r="AM50">
        <f t="shared" si="33"/>
        <v>16.600609497754483</v>
      </c>
      <c r="AN50">
        <f t="shared" si="34"/>
        <v>7.3844607795019641</v>
      </c>
      <c r="AO50">
        <f t="shared" si="35"/>
        <v>7.6625520123065964</v>
      </c>
      <c r="AP50">
        <f t="shared" si="36"/>
        <v>5.5158025036197404</v>
      </c>
      <c r="AQ50">
        <f t="shared" si="37"/>
        <v>294.9015415906922</v>
      </c>
      <c r="AR50" s="17">
        <f>IF(X50&gt;'cash outliers'!$D$19,'cash outliers'!$D$19,Dataset!X50)</f>
        <v>0.97454423105492183</v>
      </c>
      <c r="AS50" s="17">
        <f>IF(Y50&gt;'cash outliers'!$I$19,'cash outliers'!$I$19,Dataset!Y50)</f>
        <v>1.9109844143367991</v>
      </c>
      <c r="AT50" s="17">
        <f>IF(Z50&gt;'cash outliers'!$N$19,'cash outliers'!$N$19,Dataset!Z50)</f>
        <v>1.9554118913931882</v>
      </c>
    </row>
    <row r="51" spans="1:46" s="8" customFormat="1" outlineLevel="2" x14ac:dyDescent="0.25">
      <c r="A51" s="8" t="s">
        <v>287</v>
      </c>
      <c r="B51" s="81" t="s">
        <v>143</v>
      </c>
      <c r="C51" s="81">
        <v>2015</v>
      </c>
      <c r="D51" s="82">
        <f>(19859066186+1512131509+84044513+350349704)/1000</f>
        <v>21805591.912</v>
      </c>
      <c r="E51" s="82">
        <f>D51+((1047237197+64688680+22190412+368881408)/1000)</f>
        <v>23308589.609000001</v>
      </c>
      <c r="F51" s="82">
        <f>E51+((691267123+2610652+35807010+23490392+67958036+1259601)/1000)</f>
        <v>24130982.423</v>
      </c>
      <c r="G51" s="83">
        <f>M51-H51</f>
        <v>3386603.3870000001</v>
      </c>
      <c r="H51" s="88">
        <v>2424523.5</v>
      </c>
      <c r="I51" s="82">
        <f>5362179927/1000</f>
        <v>5362179.9270000001</v>
      </c>
      <c r="J51" s="82">
        <f>K51-(I51+(893442036/1000))</f>
        <v>12712857.357000001</v>
      </c>
      <c r="K51" s="82">
        <f>18968479320/1000</f>
        <v>18968479.32</v>
      </c>
      <c r="L51" s="82">
        <f>25051060852/1000</f>
        <v>25051060.852000002</v>
      </c>
      <c r="M51" s="82">
        <f>5811126887/1000</f>
        <v>5811126.8870000001</v>
      </c>
      <c r="N51" s="73">
        <f>(577146543+748064705+588138239+217104530+316007189+170041288+25160911+14145781+5052771)</f>
        <v>2660861957</v>
      </c>
      <c r="O51" s="73">
        <f>5040081986</f>
        <v>5040081986</v>
      </c>
      <c r="P51" s="73">
        <f>4537153057</f>
        <v>4537153057</v>
      </c>
      <c r="Q51" s="73">
        <f>H51*1000</f>
        <v>2424523500</v>
      </c>
      <c r="R51" s="73">
        <f>502928929</f>
        <v>502928929</v>
      </c>
      <c r="S51" s="70">
        <v>586176</v>
      </c>
      <c r="T51" s="65">
        <v>12922653175.763252</v>
      </c>
      <c r="U51" s="65">
        <v>243727620</v>
      </c>
      <c r="V51" s="65">
        <v>26636393</v>
      </c>
      <c r="W51" s="65">
        <v>32417226000</v>
      </c>
      <c r="X51" s="47">
        <f t="shared" si="8"/>
        <v>6.438779337345534</v>
      </c>
      <c r="Y51" s="47">
        <f t="shared" si="9"/>
        <v>6.8825861624285913</v>
      </c>
      <c r="Z51" s="47">
        <f t="shared" si="10"/>
        <v>7.1254232236436374</v>
      </c>
      <c r="AA51" s="47">
        <f t="shared" si="24"/>
        <v>1.1108468069473814</v>
      </c>
      <c r="AB51" s="47">
        <f t="shared" si="38"/>
        <v>857.98280550551374</v>
      </c>
      <c r="AC51" s="47">
        <f t="shared" si="25"/>
        <v>0.72152781835412549</v>
      </c>
      <c r="AD51" s="47">
        <f t="shared" si="26"/>
        <v>9.6783266558008188E-2</v>
      </c>
      <c r="AE51" s="63">
        <f t="shared" si="27"/>
        <v>4136.1698534228626</v>
      </c>
      <c r="AF51" s="47">
        <f t="shared" si="28"/>
        <v>8.208172892399862E-2</v>
      </c>
      <c r="AG51" s="47">
        <f t="shared" si="29"/>
        <v>0.1554754248867562</v>
      </c>
      <c r="AH51" s="47">
        <f t="shared" si="30"/>
        <v>0.13996117548737821</v>
      </c>
      <c r="AI51" s="48">
        <f t="shared" si="22"/>
        <v>0.39863537909638697</v>
      </c>
      <c r="AJ51" s="48">
        <f t="shared" si="39"/>
        <v>7.5184600927914068E-3</v>
      </c>
      <c r="AK51" s="49">
        <f t="shared" si="31"/>
        <v>10.332364628348623</v>
      </c>
      <c r="AL51" s="49">
        <f t="shared" si="32"/>
        <v>2.4176956832961199E-4</v>
      </c>
      <c r="AM51" s="49">
        <f t="shared" si="33"/>
        <v>12.182979246525415</v>
      </c>
      <c r="AN51" s="49">
        <f t="shared" si="34"/>
        <v>6.4318846578381832</v>
      </c>
      <c r="AO51" s="49">
        <f t="shared" si="35"/>
        <v>7.1448385348133963</v>
      </c>
      <c r="AP51" s="49">
        <f t="shared" si="36"/>
        <v>2.5085580769744165</v>
      </c>
      <c r="AQ51" s="49">
        <f t="shared" si="37"/>
        <v>133.00595968565236</v>
      </c>
      <c r="AR51" s="17">
        <f>IF(X51&gt;'cash outliers'!$D$19,'cash outliers'!$D$19,Dataset!X51)</f>
        <v>6.438779337345534</v>
      </c>
      <c r="AS51" s="17">
        <f>IF(Y51&gt;'cash outliers'!$I$19,'cash outliers'!$I$19,Dataset!Y51)</f>
        <v>6.8825861624285913</v>
      </c>
      <c r="AT51" s="17">
        <f>IF(Z51&gt;'cash outliers'!$N$19,'cash outliers'!$N$19,Dataset!Z51)</f>
        <v>7.1254232236436374</v>
      </c>
    </row>
    <row r="52" spans="1:46" x14ac:dyDescent="0.25">
      <c r="B52" s="9" t="s">
        <v>187</v>
      </c>
      <c r="D52" s="74">
        <f t="shared" ref="D52:AP52" si="40">AVERAGE(D2:D51)</f>
        <v>10207482.206660001</v>
      </c>
      <c r="E52" s="74">
        <f t="shared" si="40"/>
        <v>14505405.95792</v>
      </c>
      <c r="F52" s="74">
        <f t="shared" si="40"/>
        <v>16084085.40718</v>
      </c>
      <c r="G52" s="74">
        <f t="shared" si="40"/>
        <v>5892183.9300800003</v>
      </c>
      <c r="H52" s="74">
        <f t="shared" si="40"/>
        <v>28175247.078139998</v>
      </c>
      <c r="I52" s="74">
        <f t="shared" si="40"/>
        <v>-15589558.812359998</v>
      </c>
      <c r="J52" s="74">
        <f t="shared" si="40"/>
        <v>7826792.8137800004</v>
      </c>
      <c r="K52" s="74">
        <f t="shared" si="40"/>
        <v>10959080.9001</v>
      </c>
      <c r="L52" s="74">
        <f t="shared" si="40"/>
        <v>45396445.320420004</v>
      </c>
      <c r="M52" s="74">
        <f t="shared" si="40"/>
        <v>34176330.928220004</v>
      </c>
      <c r="N52" s="74">
        <f t="shared" si="40"/>
        <v>17122047832.639999</v>
      </c>
      <c r="O52" s="74">
        <f t="shared" si="40"/>
        <v>37713391139.720001</v>
      </c>
      <c r="P52" s="74">
        <f t="shared" si="40"/>
        <v>36597057282.599998</v>
      </c>
      <c r="Q52" s="74">
        <f t="shared" si="40"/>
        <v>28175247078.139999</v>
      </c>
      <c r="R52" s="74">
        <f t="shared" si="40"/>
        <v>1184136384.1600001</v>
      </c>
      <c r="S52" s="74">
        <f t="shared" si="40"/>
        <v>6415882.46</v>
      </c>
      <c r="T52" s="74">
        <f t="shared" si="40"/>
        <v>105502898903.82782</v>
      </c>
      <c r="U52" s="74">
        <f t="shared" si="40"/>
        <v>12972650901.125</v>
      </c>
      <c r="V52" s="74">
        <f t="shared" si="40"/>
        <v>12713209803.938776</v>
      </c>
      <c r="W52" s="74">
        <f t="shared" si="40"/>
        <v>305429330000</v>
      </c>
      <c r="X52" s="16">
        <f t="shared" si="40"/>
        <v>2.677299561740369</v>
      </c>
      <c r="Y52" s="16">
        <f t="shared" si="40"/>
        <v>3.6618602566019445</v>
      </c>
      <c r="Z52" s="16">
        <f t="shared" si="40"/>
        <v>3.9346128736049866</v>
      </c>
      <c r="AA52" s="16">
        <f t="shared" si="40"/>
        <v>1.0350357914657344</v>
      </c>
      <c r="AB52" s="16">
        <f t="shared" si="40"/>
        <v>149.98198750934785</v>
      </c>
      <c r="AC52" s="16">
        <f t="shared" si="40"/>
        <v>-0.17340587110559055</v>
      </c>
      <c r="AD52" s="16">
        <f t="shared" si="40"/>
        <v>0.61130302399654635</v>
      </c>
      <c r="AE52" s="74">
        <f t="shared" si="40"/>
        <v>4271.9039025430557</v>
      </c>
      <c r="AF52" s="17">
        <f t="shared" si="40"/>
        <v>5.8991215684195256E-2</v>
      </c>
      <c r="AG52" s="17">
        <f t="shared" si="40"/>
        <v>0.13435517805714908</v>
      </c>
      <c r="AH52" s="17">
        <f t="shared" si="40"/>
        <v>0.13095256216382128</v>
      </c>
      <c r="AI52" s="17">
        <f t="shared" si="40"/>
        <v>0.35034573572479566</v>
      </c>
      <c r="AJ52" s="17">
        <f t="shared" si="40"/>
        <v>3.5225062746682967E-2</v>
      </c>
      <c r="AK52">
        <f t="shared" si="40"/>
        <v>3.7169254970937287</v>
      </c>
      <c r="AL52">
        <f t="shared" si="40"/>
        <v>4.6298741820661354E-4</v>
      </c>
      <c r="AM52">
        <f t="shared" si="40"/>
        <v>19.22233622499424</v>
      </c>
      <c r="AN52">
        <f t="shared" si="40"/>
        <v>7.8901389942674758</v>
      </c>
      <c r="AO52">
        <f t="shared" si="40"/>
        <v>8.1689335200721764</v>
      </c>
      <c r="AP52">
        <f t="shared" si="40"/>
        <v>3.2254280190081759</v>
      </c>
      <c r="AQ52">
        <f>AVERAGE(AQ2:AQ27,AQ29:AQ41,AQ43:AQ51)</f>
        <v>1090.7335085543575</v>
      </c>
    </row>
    <row r="53" spans="1:46" x14ac:dyDescent="0.25">
      <c r="B53" s="9"/>
      <c r="N53" s="14"/>
      <c r="P53" s="25"/>
      <c r="T53" s="98">
        <f>SUM(T2:T51)</f>
        <v>5275144945191.3906</v>
      </c>
      <c r="U53" s="16"/>
      <c r="X53" s="16"/>
      <c r="Y53" s="16"/>
      <c r="Z53" s="16"/>
      <c r="AB53" s="17"/>
      <c r="AC53" s="61"/>
      <c r="AF53" s="61"/>
      <c r="AG53" s="61"/>
      <c r="AH53" s="61"/>
    </row>
    <row r="54" spans="1:46" x14ac:dyDescent="0.25">
      <c r="H54" s="12"/>
      <c r="I54" s="86"/>
      <c r="N54" s="86"/>
      <c r="P54" s="25"/>
      <c r="V54" s="62"/>
      <c r="W54" s="60"/>
      <c r="X54" s="16"/>
      <c r="Y54" s="16"/>
      <c r="Z54" s="16"/>
      <c r="AC54" s="17"/>
    </row>
    <row r="55" spans="1:46" ht="17.25" x14ac:dyDescent="0.25">
      <c r="C55" s="71"/>
      <c r="D55" s="71"/>
      <c r="E55" s="71"/>
      <c r="F55" s="71"/>
      <c r="G55" s="12"/>
      <c r="H55" s="12"/>
      <c r="P55" s="17"/>
      <c r="S55" s="69"/>
      <c r="T55" s="16"/>
      <c r="U55" s="62"/>
      <c r="V55" s="75"/>
      <c r="W55" s="60"/>
      <c r="AF55" s="17"/>
      <c r="AG55" s="17"/>
    </row>
    <row r="56" spans="1:46" ht="17.25" x14ac:dyDescent="0.25">
      <c r="H56" s="12"/>
      <c r="S56" s="69"/>
    </row>
    <row r="57" spans="1:46" x14ac:dyDescent="0.25">
      <c r="T57" s="16"/>
      <c r="AI57" s="17"/>
    </row>
    <row r="58" spans="1:46" x14ac:dyDescent="0.25">
      <c r="T58" s="16"/>
    </row>
    <row r="59" spans="1:46" x14ac:dyDescent="0.25">
      <c r="T59" s="16"/>
    </row>
    <row r="60" spans="1:46" x14ac:dyDescent="0.25">
      <c r="T60" s="16"/>
    </row>
    <row r="61" spans="1:46" x14ac:dyDescent="0.25">
      <c r="T61" s="16"/>
    </row>
  </sheetData>
  <autoFilter ref="B1:B55"/>
  <hyperlinks>
    <hyperlink ref="S1" r:id="rId1"/>
    <hyperlink ref="W1" r:id="rId2" location="reqid=70&amp;step=1&amp;isuri=1"/>
    <hyperlink ref="A9" r:id="rId3"/>
  </hyperlinks>
  <pageMargins left="0.75" right="0.75" top="1" bottom="1" header="0.5" footer="0.5"/>
  <pageSetup orientation="portrait" horizontalDpi="4294967292" verticalDpi="4294967292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O57"/>
  <sheetViews>
    <sheetView topLeftCell="B1" zoomScale="85" zoomScaleNormal="85" zoomScalePageLayoutView="115" workbookViewId="0">
      <pane xSplit="1" ySplit="1" topLeftCell="S2" activePane="bottomRight" state="frozen"/>
      <selection activeCell="B1" sqref="B1"/>
      <selection pane="topRight" activeCell="C1" sqref="C1"/>
      <selection pane="bottomLeft" activeCell="B2" sqref="B2"/>
      <selection pane="bottomRight" activeCell="AC19" sqref="AC19"/>
    </sheetView>
  </sheetViews>
  <sheetFormatPr defaultColWidth="12.875" defaultRowHeight="15.75" x14ac:dyDescent="0.25"/>
  <cols>
    <col min="2" max="2" width="15.625" customWidth="1"/>
    <col min="3" max="3" width="13.125" customWidth="1"/>
    <col min="10" max="10" width="19.375" customWidth="1"/>
    <col min="11" max="11" width="15.125" customWidth="1"/>
    <col min="12" max="12" width="15.5" customWidth="1"/>
    <col min="21" max="21" width="16.25" customWidth="1"/>
    <col min="22" max="22" width="12.875" customWidth="1"/>
    <col min="25" max="25" width="10.125" customWidth="1"/>
    <col min="26" max="26" width="31" bestFit="1" customWidth="1"/>
    <col min="28" max="28" width="13.875" bestFit="1" customWidth="1"/>
    <col min="29" max="29" width="13.125" bestFit="1" customWidth="1"/>
    <col min="30" max="30" width="12.625" customWidth="1"/>
    <col min="31" max="31" width="14.625" customWidth="1"/>
    <col min="32" max="32" width="14.375" customWidth="1"/>
    <col min="34" max="34" width="14.5" customWidth="1"/>
    <col min="35" max="35" width="14.875" bestFit="1" customWidth="1"/>
    <col min="36" max="36" width="18" bestFit="1" customWidth="1"/>
    <col min="37" max="37" width="12.125" bestFit="1" customWidth="1"/>
    <col min="38" max="38" width="14.5" bestFit="1" customWidth="1"/>
    <col min="39" max="39" width="14.5" customWidth="1"/>
    <col min="40" max="41" width="13.75" style="35" customWidth="1"/>
  </cols>
  <sheetData>
    <row r="1" spans="1:41" ht="32.25" thickBot="1" x14ac:dyDescent="0.3">
      <c r="A1" t="s">
        <v>0</v>
      </c>
      <c r="B1" t="s">
        <v>1</v>
      </c>
      <c r="C1" t="s">
        <v>2</v>
      </c>
      <c r="D1" s="9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10" t="s">
        <v>27</v>
      </c>
      <c r="K1" s="10" t="s">
        <v>28</v>
      </c>
      <c r="L1" s="10" t="s">
        <v>176</v>
      </c>
      <c r="M1" s="10" t="s">
        <v>177</v>
      </c>
      <c r="N1" s="10" t="s">
        <v>178</v>
      </c>
      <c r="O1" s="10" t="s">
        <v>208</v>
      </c>
      <c r="P1" s="10" t="s">
        <v>207</v>
      </c>
      <c r="Q1" s="11" t="s">
        <v>144</v>
      </c>
      <c r="R1" s="11" t="s">
        <v>26</v>
      </c>
      <c r="S1" s="11" t="s">
        <v>185</v>
      </c>
      <c r="T1" s="11" t="s">
        <v>174</v>
      </c>
      <c r="U1" s="11" t="s">
        <v>175</v>
      </c>
      <c r="V1" s="95" t="s">
        <v>230</v>
      </c>
      <c r="W1" s="95" t="s">
        <v>231</v>
      </c>
      <c r="X1" s="95" t="s">
        <v>232</v>
      </c>
      <c r="Z1" s="27"/>
      <c r="AA1" s="28" t="s">
        <v>146</v>
      </c>
      <c r="AB1" s="28" t="s">
        <v>194</v>
      </c>
      <c r="AC1" s="29" t="s">
        <v>148</v>
      </c>
      <c r="AD1" s="28" t="s">
        <v>149</v>
      </c>
      <c r="AE1" s="28" t="s">
        <v>163</v>
      </c>
      <c r="AF1" s="28" t="s">
        <v>189</v>
      </c>
      <c r="AH1" s="27" t="s">
        <v>145</v>
      </c>
      <c r="AI1" s="28" t="s">
        <v>146</v>
      </c>
      <c r="AJ1" s="28" t="s">
        <v>147</v>
      </c>
      <c r="AK1" s="29" t="s">
        <v>148</v>
      </c>
      <c r="AL1" s="28" t="s">
        <v>149</v>
      </c>
      <c r="AM1" s="40" t="s">
        <v>163</v>
      </c>
      <c r="AN1" s="41" t="s">
        <v>229</v>
      </c>
      <c r="AO1"/>
    </row>
    <row r="2" spans="1:41" ht="15.75" customHeight="1" thickBot="1" x14ac:dyDescent="0.3">
      <c r="A2" t="s">
        <v>29</v>
      </c>
      <c r="B2" s="8" t="s">
        <v>30</v>
      </c>
      <c r="C2" s="8" t="s">
        <v>243</v>
      </c>
      <c r="D2">
        <f>STANDARDIZE(Dataset!X2,'standardized values'!$AB$9,'standardized values'!$AD$9)</f>
        <v>0.40250246292976705</v>
      </c>
      <c r="E2">
        <f>STANDARDIZE(Dataset!Y2,'standardized values'!$AB$10,'standardized values'!$AD$10)</f>
        <v>0.29283832460288872</v>
      </c>
      <c r="F2">
        <f>STANDARDIZE(Dataset!Z2,'standardized values'!$AB$11,'standardized values'!$AD$11)</f>
        <v>0.41841309547366401</v>
      </c>
      <c r="G2">
        <f>STANDARDIZE(Dataset!AA2,'standardized values'!$AB$12,'standardized values'!$AD$12)</f>
        <v>-0.46501515338959948</v>
      </c>
      <c r="H2">
        <f>STANDARDIZE(Dataset!AB2,'standardized values'!$AB$13,'standardized values'!$AD$13)</f>
        <v>-0.15533891059780111</v>
      </c>
      <c r="I2">
        <f>STANDARDIZE(Dataset!AC2,'standardized values'!$AB$14,'standardized values'!$AD$14)</f>
        <v>0.21694600309238984</v>
      </c>
      <c r="J2">
        <f>STANDARDIZE(Dataset!AK2,'standardized values'!$AB$20,'standardized values'!$AD$20)</f>
        <v>-0.15185540290481536</v>
      </c>
      <c r="K2">
        <f>STANDARDIZE(Dataset!AL2,'standardized values'!$AB$21,'standardized values'!$AD$21)</f>
        <v>1.0702209595670862E-2</v>
      </c>
      <c r="L2">
        <f>STANDARDIZE(Dataset!AM2,'standardized values'!$AB$22,'standardized values'!$AD$22)</f>
        <v>0.24281540718573552</v>
      </c>
      <c r="M2">
        <f>STANDARDIZE(Dataset!AN2,'standardized values'!$AB$23,'standardized values'!$AD$23)</f>
        <v>0.38056593256472654</v>
      </c>
      <c r="N2">
        <f>STANDARDIZE(Dataset!AO2,'standardized values'!$AB$24,'standardized values'!$AD$24)</f>
        <v>0.21281163189662894</v>
      </c>
      <c r="O2">
        <f>STANDARDIZE(Dataset!AP2,'standardized values'!$AB$27,'standardized values'!$AD$27)</f>
        <v>-0.49804884379046499</v>
      </c>
      <c r="P2">
        <f>STANDARDIZE(Dataset!AQ2,'standardized values'!$AB$28,'standardized values'!$AD$28)</f>
        <v>-0.20436112440814042</v>
      </c>
      <c r="Q2">
        <f>STANDARDIZE(Dataset!AD2,'standardized values'!$AB$15,'standardized values'!$AD$15)</f>
        <v>-0.40249566127806574</v>
      </c>
      <c r="R2">
        <f>STANDARDIZE(Dataset!AE2,'standardized values'!$AB$16,'standardized values'!$AD$16)</f>
        <v>-0.55562736149646241</v>
      </c>
      <c r="S2">
        <f>STANDARDIZE(Dataset!AF2,'standardized values'!$AB$17,'standardized values'!$AD$17)</f>
        <v>-0.6789629525428964</v>
      </c>
      <c r="T2">
        <f>STANDARDIZE(Dataset!AG2,'standardized values'!$AB$18,'standardized values'!$AD$18)</f>
        <v>-0.50111351144685479</v>
      </c>
      <c r="U2">
        <f>STANDARDIZE(Dataset!AH2,'standardized values'!$AB$19,'standardized values'!$AD$19)</f>
        <v>-0.36159821914056012</v>
      </c>
      <c r="V2">
        <f>STANDARDIZE(Dataset!AR2,AVERAGE(Dataset!$AR$2:$AR$51),STDEV(Dataset!$AR$2:$AR$51))</f>
        <v>0.87489891943607101</v>
      </c>
      <c r="W2">
        <f>STANDARDIZE(Dataset!AS2,AVERAGE(Dataset!$AS$2:$AS$51),STDEV(Dataset!$AS$2:$AS$51))</f>
        <v>0.53256966002520545</v>
      </c>
      <c r="X2">
        <f>STANDARDIZE(Dataset!AT2,AVERAGE(Dataset!$AT$2:$AT$51),STDEV(Dataset!$AT$2:$AT$51))</f>
        <v>0.7483530309079659</v>
      </c>
      <c r="Z2" s="77" t="s">
        <v>190</v>
      </c>
      <c r="AA2" s="78">
        <v>0.35</v>
      </c>
      <c r="AB2" s="78">
        <v>0.1</v>
      </c>
      <c r="AC2" s="78">
        <v>0.35</v>
      </c>
      <c r="AD2" s="78">
        <v>0.1</v>
      </c>
      <c r="AE2" s="78">
        <v>0.1</v>
      </c>
      <c r="AF2" s="17">
        <f>SUM(AA2:AE2)</f>
        <v>0.99999999999999989</v>
      </c>
      <c r="AH2" s="8" t="s">
        <v>30</v>
      </c>
      <c r="AI2" s="31">
        <f>SUM(V2:X2)</f>
        <v>2.1558216103692422</v>
      </c>
      <c r="AJ2" s="31">
        <f>SUM(I2:K2)</f>
        <v>7.5792809783245346E-2</v>
      </c>
      <c r="AK2" s="31">
        <f>SUM(G2:H2)</f>
        <v>-0.62035406398740056</v>
      </c>
      <c r="AL2" s="31">
        <f>SUM(L2:N2)</f>
        <v>0.83619297164709105</v>
      </c>
      <c r="AM2" s="31">
        <f>SUM(O2:P2)</f>
        <v>-0.70240996819860535</v>
      </c>
      <c r="AN2" s="31">
        <f>(AI2*$AA$2)+(AJ2*$AB$2)+(AK2*$AC$2)+(AL2*$AD$2)+(AM2*$AE$2)</f>
        <v>0.55837122255681759</v>
      </c>
      <c r="AO2" s="17"/>
    </row>
    <row r="3" spans="1:41" x14ac:dyDescent="0.25">
      <c r="A3" s="18" t="s">
        <v>37</v>
      </c>
      <c r="B3" s="8" t="s">
        <v>38</v>
      </c>
      <c r="C3" s="8">
        <v>2015</v>
      </c>
      <c r="D3">
        <f>STANDARDIZE(Dataset!X3,'standardized values'!$AB$9,'standardized values'!$AD$9)</f>
        <v>6.1004360448122945</v>
      </c>
      <c r="E3">
        <f>STANDARDIZE(Dataset!Y3,'standardized values'!$AB$10,'standardized values'!$AD$10)</f>
        <v>5.6502141638951082</v>
      </c>
      <c r="F3">
        <f>STANDARDIZE(Dataset!Z3,'standardized values'!$AB$11,'standardized values'!$AD$11)</f>
        <v>5.6964807798376702</v>
      </c>
      <c r="G3">
        <f>STANDARDIZE(Dataset!AA3,'standardized values'!$AB$12,'standardized values'!$AD$12)</f>
        <v>-4.8956261166415613</v>
      </c>
      <c r="H3">
        <f>STANDARDIZE(Dataset!AB3,'standardized values'!$AB$13,'standardized values'!$AD$13)</f>
        <v>-6.1498297840643517</v>
      </c>
      <c r="I3">
        <f>STANDARDIZE(Dataset!AC3,'standardized values'!$AB$14,'standardized values'!$AD$14)</f>
        <v>1.303903326928743</v>
      </c>
      <c r="J3">
        <f>STANDARDIZE(Dataset!AK3,'standardized values'!$AB$20,'standardized values'!$AD$20)</f>
        <v>1.6237703549025166</v>
      </c>
      <c r="K3">
        <f>STANDARDIZE(Dataset!AL3,'standardized values'!$AB$21,'standardized values'!$AD$21)</f>
        <v>-0.79956293389682864</v>
      </c>
      <c r="L3">
        <f>STANDARDIZE(Dataset!AM3,'standardized values'!$AB$22,'standardized values'!$AD$22)</f>
        <v>6.0708499393100928</v>
      </c>
      <c r="M3">
        <f>STANDARDIZE(Dataset!AN3,'standardized values'!$AB$23,'standardized values'!$AD$23)</f>
        <v>-1.6926826291082691</v>
      </c>
      <c r="N3">
        <f>STANDARDIZE(Dataset!AO3,'standardized values'!$AB$24,'standardized values'!$AD$24)</f>
        <v>-2.5381820985758168</v>
      </c>
      <c r="O3">
        <f>STANDARDIZE(Dataset!AP3,'standardized values'!$AB$27,'standardized values'!$AD$27)</f>
        <v>-1.6737726511774513</v>
      </c>
      <c r="P3">
        <f>STANDARDIZE(Dataset!AQ3,'standardized values'!$AB$28,'standardized values'!$AD$28)</f>
        <v>-0.20523695311895365</v>
      </c>
      <c r="Q3">
        <f>STANDARDIZE(Dataset!AD3,'standardized values'!$AB$15,'standardized values'!$AD$15)</f>
        <v>-0.69667302418025179</v>
      </c>
      <c r="R3">
        <f>STANDARDIZE(Dataset!AE3,'standardized values'!$AB$16,'standardized values'!$AD$16)</f>
        <v>1.8738700738523257</v>
      </c>
      <c r="S3">
        <f>STANDARDIZE(Dataset!AF3,'standardized values'!$AB$17,'standardized values'!$AD$17)</f>
        <v>-2.4604958969525934</v>
      </c>
      <c r="T3">
        <f>STANDARDIZE(Dataset!AG3,'standardized values'!$AB$18,'standardized values'!$AD$18)</f>
        <v>2.0585480678984576</v>
      </c>
      <c r="U3">
        <f>STANDARDIZE(Dataset!AH3,'standardized values'!$AB$19,'standardized values'!$AD$19)</f>
        <v>4.4816322018676527</v>
      </c>
      <c r="V3">
        <f>STANDARDIZE(Dataset!AR3,AVERAGE(Dataset!$AR$2:$AR$51),STDEV(Dataset!$AR$2:$AR$51))</f>
        <v>3.6080431886133928</v>
      </c>
      <c r="W3">
        <f>STANDARDIZE(Dataset!AS3,AVERAGE(Dataset!$AS$2:$AS$51),STDEV(Dataset!$AS$2:$AS$51))</f>
        <v>3.5553605386778377</v>
      </c>
      <c r="X3">
        <f>STANDARDIZE(Dataset!AT3,AVERAGE(Dataset!$AT$2:$AT$51),STDEV(Dataset!$AT$2:$AT$51))</f>
        <v>3.404494119307691</v>
      </c>
      <c r="AA3" s="17"/>
      <c r="AB3" s="17"/>
      <c r="AC3" s="17"/>
      <c r="AD3" s="17"/>
      <c r="AE3" s="17"/>
      <c r="AG3" s="17"/>
      <c r="AH3" s="8" t="s">
        <v>38</v>
      </c>
      <c r="AI3" s="31">
        <f t="shared" ref="AI3:AI51" si="0">SUM(V3:X3)</f>
        <v>10.567897846598921</v>
      </c>
      <c r="AJ3" s="31">
        <f t="shared" ref="AJ3:AJ33" si="1">SUM(I3:K3)</f>
        <v>2.1281107479344308</v>
      </c>
      <c r="AK3" s="31">
        <f t="shared" ref="AK3:AK33" si="2">SUM(G3:H3)</f>
        <v>-11.045455900705914</v>
      </c>
      <c r="AL3" s="31">
        <f t="shared" ref="AL3:AL33" si="3">SUM(L3:N3)</f>
        <v>1.8399852116260069</v>
      </c>
      <c r="AM3" s="31">
        <f t="shared" ref="AM3:AM27" si="4">SUM(O3:P3)</f>
        <v>-1.8790096042964051</v>
      </c>
      <c r="AN3" s="31">
        <f t="shared" ref="AN3:AN33" si="5">(AI3*$AA$2)+(AJ3*$AB$2)+(AK3*$AC$2)+(AL3*$AD$2)+(AM3*$AE$2)</f>
        <v>4.1763316588955823E-2</v>
      </c>
      <c r="AO3"/>
    </row>
    <row r="4" spans="1:41" ht="15.75" customHeight="1" x14ac:dyDescent="0.25">
      <c r="A4" t="s">
        <v>40</v>
      </c>
      <c r="B4" s="8" t="s">
        <v>41</v>
      </c>
      <c r="C4" s="8">
        <v>2015</v>
      </c>
      <c r="D4">
        <f>STANDARDIZE(Dataset!X4,'standardized values'!$AB$9,'standardized values'!$AD$9)</f>
        <v>-0.47587776200997017</v>
      </c>
      <c r="E4">
        <f>STANDARDIZE(Dataset!Y4,'standardized values'!$AB$10,'standardized values'!$AD$10)</f>
        <v>-0.63901879467400702</v>
      </c>
      <c r="F4">
        <f>STANDARDIZE(Dataset!Z4,'standardized values'!$AB$11,'standardized values'!$AD$11)</f>
        <v>-0.65717854305104595</v>
      </c>
      <c r="G4">
        <f>STANDARDIZE(Dataset!AA4,'standardized values'!$AB$12,'standardized values'!$AD$12)</f>
        <v>0.22058213716243122</v>
      </c>
      <c r="H4">
        <f>STANDARDIZE(Dataset!AB4,'standardized values'!$AB$13,'standardized values'!$AD$13)</f>
        <v>9.9662219385076495E-2</v>
      </c>
      <c r="I4">
        <f>STANDARDIZE(Dataset!AC4,'standardized values'!$AB$14,'standardized values'!$AD$14)</f>
        <v>0.31674691546488909</v>
      </c>
      <c r="J4">
        <f>STANDARDIZE(Dataset!AK4,'standardized values'!$AB$20,'standardized values'!$AD$20)</f>
        <v>-0.24218077794164122</v>
      </c>
      <c r="K4">
        <f>STANDARDIZE(Dataset!AL4,'standardized values'!$AB$21,'standardized values'!$AD$21)</f>
        <v>-4.6478617598269267E-2</v>
      </c>
      <c r="L4">
        <f>STANDARDIZE(Dataset!AM4,'standardized values'!$AB$22,'standardized values'!$AD$22)</f>
        <v>6.6580341765417911E-2</v>
      </c>
      <c r="M4">
        <f>STANDARDIZE(Dataset!AN4,'standardized values'!$AB$23,'standardized values'!$AD$23)</f>
        <v>-3.535521428252731E-2</v>
      </c>
      <c r="N4">
        <f>STANDARDIZE(Dataset!AO4,'standardized values'!$AB$24,'standardized values'!$AD$24)</f>
        <v>3.0886286197439553E-2</v>
      </c>
      <c r="O4">
        <f>STANDARDIZE(Dataset!AP4,'standardized values'!$AB$27,'standardized values'!$AD$27)</f>
        <v>-9.8243164913544775E-2</v>
      </c>
      <c r="P4">
        <f>STANDARDIZE(Dataset!AQ4,'standardized values'!$AB$28,'standardized values'!$AD$28)</f>
        <v>0.22747609891032711</v>
      </c>
      <c r="Q4">
        <f>STANDARDIZE(Dataset!AD4,'standardized values'!$AB$15,'standardized values'!$AD$15)</f>
        <v>-0.35060041095184524</v>
      </c>
      <c r="R4">
        <f>STANDARDIZE(Dataset!AE4,'standardized values'!$AB$16,'standardized values'!$AD$16)</f>
        <v>-0.52175199069518086</v>
      </c>
      <c r="S4">
        <f>STANDARDIZE(Dataset!AF4,'standardized values'!$AB$17,'standardized values'!$AD$17)</f>
        <v>-0.4610330714740371</v>
      </c>
      <c r="T4">
        <f>STANDARDIZE(Dataset!AG4,'standardized values'!$AB$18,'standardized values'!$AD$18)</f>
        <v>-0.18495812989963542</v>
      </c>
      <c r="U4">
        <f>STANDARDIZE(Dataset!AH4,'standardized values'!$AB$19,'standardized values'!$AD$19)</f>
        <v>-0.23605788883474293</v>
      </c>
      <c r="V4">
        <f>STANDARDIZE(Dataset!AR4,AVERAGE(Dataset!$AR$2:$AR$51),STDEV(Dataset!$AR$2:$AR$51))</f>
        <v>-0.70606942951189511</v>
      </c>
      <c r="W4">
        <f>STANDARDIZE(Dataset!AS4,AVERAGE(Dataset!$AS$2:$AS$51),STDEV(Dataset!$AS$2:$AS$51))</f>
        <v>-0.8490167763693014</v>
      </c>
      <c r="X4">
        <f>STANDARDIZE(Dataset!AT4,AVERAGE(Dataset!$AT$2:$AT$51),STDEV(Dataset!$AT$2:$AT$51))</f>
        <v>-0.89688124911879674</v>
      </c>
      <c r="AA4" s="17"/>
      <c r="AH4" s="8" t="s">
        <v>41</v>
      </c>
      <c r="AI4" s="31">
        <f t="shared" si="0"/>
        <v>-2.451967454999993</v>
      </c>
      <c r="AJ4" s="31">
        <f t="shared" si="1"/>
        <v>2.8087519924978599E-2</v>
      </c>
      <c r="AK4" s="31">
        <f t="shared" si="2"/>
        <v>0.32024435654750771</v>
      </c>
      <c r="AL4" s="31">
        <f t="shared" si="3"/>
        <v>6.2111413680330158E-2</v>
      </c>
      <c r="AM4" s="31">
        <f t="shared" si="4"/>
        <v>0.12923293399678232</v>
      </c>
      <c r="AN4" s="31">
        <f t="shared" si="5"/>
        <v>-0.72415989769816069</v>
      </c>
      <c r="AO4" s="31"/>
    </row>
    <row r="5" spans="1:41" ht="15.75" customHeight="1" x14ac:dyDescent="0.25">
      <c r="A5" t="s">
        <v>43</v>
      </c>
      <c r="B5" s="8" t="s">
        <v>44</v>
      </c>
      <c r="C5" s="8">
        <v>2015</v>
      </c>
      <c r="D5">
        <f>STANDARDIZE(Dataset!X5,'standardized values'!$AB$9,'standardized values'!$AD$9)</f>
        <v>0.10780959814912298</v>
      </c>
      <c r="E5">
        <f>STANDARDIZE(Dataset!Y5,'standardized values'!$AB$10,'standardized values'!$AD$10)</f>
        <v>3.248739426875847E-2</v>
      </c>
      <c r="F5">
        <f>STANDARDIZE(Dataset!Z5,'standardized values'!$AB$11,'standardized values'!$AD$11)</f>
        <v>1.0926676730339861E-2</v>
      </c>
      <c r="G5">
        <f>STANDARDIZE(Dataset!AA5,'standardized values'!$AB$12,'standardized values'!$AD$12)</f>
        <v>0.10071699228918689</v>
      </c>
      <c r="H5">
        <f>STANDARDIZE(Dataset!AB5,'standardized values'!$AB$13,'standardized values'!$AD$13)</f>
        <v>0.14371715645607977</v>
      </c>
      <c r="I5">
        <f>STANDARDIZE(Dataset!AC5,'standardized values'!$AB$14,'standardized values'!$AD$14)</f>
        <v>0.36846313303880412</v>
      </c>
      <c r="J5">
        <f>STANDARDIZE(Dataset!AK5,'standardized values'!$AB$20,'standardized values'!$AD$20)</f>
        <v>-0.18650374537124101</v>
      </c>
      <c r="K5">
        <f>STANDARDIZE(Dataset!AL5,'standardized values'!$AB$21,'standardized values'!$AD$21)</f>
        <v>-0.21744176868029033</v>
      </c>
      <c r="L5">
        <f>STANDARDIZE(Dataset!AM5,'standardized values'!$AB$22,'standardized values'!$AD$22)</f>
        <v>-0.39070317619145006</v>
      </c>
      <c r="M5">
        <f>STANDARDIZE(Dataset!AN5,'standardized values'!$AB$23,'standardized values'!$AD$23)</f>
        <v>-1.2878967461887345</v>
      </c>
      <c r="N5">
        <f>STANDARDIZE(Dataset!AO5,'standardized values'!$AB$24,'standardized values'!$AD$24)</f>
        <v>-1.2218401807203623</v>
      </c>
      <c r="O5">
        <f>STANDARDIZE(Dataset!AP5,'standardized values'!$AB$27,'standardized values'!$AD$27)</f>
        <v>-0.19529968402700876</v>
      </c>
      <c r="P5">
        <f>STANDARDIZE(Dataset!AQ5,'standardized values'!$AB$28,'standardized values'!$AD$28)</f>
        <v>-0.1957224138057197</v>
      </c>
      <c r="Q5">
        <f>STANDARDIZE(Dataset!AD5,'standardized values'!$AB$15,'standardized values'!$AD$15)</f>
        <v>-0.38395424254382138</v>
      </c>
      <c r="R5">
        <f>STANDARDIZE(Dataset!AE5,'standardized values'!$AB$16,'standardized values'!$AD$16)</f>
        <v>-0.39036425444910683</v>
      </c>
      <c r="S5">
        <f>STANDARDIZE(Dataset!AF5,'standardized values'!$AB$17,'standardized values'!$AD$17)</f>
        <v>0.34099756781388973</v>
      </c>
      <c r="T5">
        <f>STANDARDIZE(Dataset!AG5,'standardized values'!$AB$18,'standardized values'!$AD$18)</f>
        <v>1.2862919910087454</v>
      </c>
      <c r="U5">
        <f>STANDARDIZE(Dataset!AH5,'standardized values'!$AB$19,'standardized values'!$AD$19)</f>
        <v>1.0456369254468589</v>
      </c>
      <c r="V5">
        <f>STANDARDIZE(Dataset!AR5,AVERAGE(Dataset!$AR$2:$AR$51),STDEV(Dataset!$AR$2:$AR$51))</f>
        <v>0.34449069911102337</v>
      </c>
      <c r="W5">
        <f>STANDARDIZE(Dataset!AS5,AVERAGE(Dataset!$AS$2:$AS$51),STDEV(Dataset!$AS$2:$AS$51))</f>
        <v>0.14656915993626035</v>
      </c>
      <c r="X5">
        <f>STANDARDIZE(Dataset!AT5,AVERAGE(Dataset!$AT$2:$AT$51),STDEV(Dataset!$AT$2:$AT$51))</f>
        <v>0.12505827781617224</v>
      </c>
      <c r="Z5" s="49"/>
      <c r="AA5" s="49"/>
      <c r="AB5" s="49"/>
      <c r="AC5" s="49"/>
      <c r="AD5" s="49"/>
      <c r="AE5" s="49"/>
      <c r="AF5" s="49"/>
      <c r="AH5" s="8" t="s">
        <v>44</v>
      </c>
      <c r="AI5" s="31">
        <f t="shared" si="0"/>
        <v>0.61611813686345596</v>
      </c>
      <c r="AJ5" s="31">
        <f t="shared" si="1"/>
        <v>-3.5482381012727215E-2</v>
      </c>
      <c r="AK5" s="31">
        <f t="shared" si="2"/>
        <v>0.24443414874526664</v>
      </c>
      <c r="AL5" s="31">
        <f t="shared" si="3"/>
        <v>-2.9004401031005469</v>
      </c>
      <c r="AM5" s="31">
        <f t="shared" si="4"/>
        <v>-0.39102209783272845</v>
      </c>
      <c r="AN5" s="31">
        <f t="shared" si="5"/>
        <v>-3.150115823154738E-2</v>
      </c>
      <c r="AO5" s="31"/>
    </row>
    <row r="6" spans="1:41" ht="15.75" customHeight="1" x14ac:dyDescent="0.25">
      <c r="A6" t="s">
        <v>46</v>
      </c>
      <c r="B6" s="8" t="s">
        <v>47</v>
      </c>
      <c r="C6" s="8">
        <v>2015</v>
      </c>
      <c r="D6">
        <f>STANDARDIZE(Dataset!X6,'standardized values'!$AB$9,'standardized values'!$AD$9)</f>
        <v>-0.53534871968816722</v>
      </c>
      <c r="E6">
        <f>STANDARDIZE(Dataset!Y6,'standardized values'!$AB$10,'standardized values'!$AD$10)</f>
        <v>-0.66980340976697572</v>
      </c>
      <c r="F6">
        <f>STANDARDIZE(Dataset!Z6,'standardized values'!$AB$11,'standardized values'!$AD$11)</f>
        <v>-0.625521953727039</v>
      </c>
      <c r="G6">
        <f>STANDARDIZE(Dataset!AA6,'standardized values'!$AB$12,'standardized values'!$AD$12)</f>
        <v>0.34510263033500826</v>
      </c>
      <c r="H6">
        <f>STANDARDIZE(Dataset!AB6,'standardized values'!$AB$13,'standardized values'!$AD$13)</f>
        <v>0.2648762425915876</v>
      </c>
      <c r="I6">
        <f>STANDARDIZE(Dataset!AC6,'standardized values'!$AB$14,'standardized values'!$AD$14)</f>
        <v>-0.61431312798745397</v>
      </c>
      <c r="J6">
        <f>STANDARDIZE(Dataset!AK6,'standardized values'!$AB$20,'standardized values'!$AD$20)</f>
        <v>-0.70830964998128054</v>
      </c>
      <c r="K6">
        <f>STANDARDIZE(Dataset!AL6,'standardized values'!$AB$21,'standardized values'!$AD$21)</f>
        <v>-0.59651734835592363</v>
      </c>
      <c r="L6">
        <f>STANDARDIZE(Dataset!AM6,'standardized values'!$AB$22,'standardized values'!$AD$22)</f>
        <v>-0.43108463068329628</v>
      </c>
      <c r="M6">
        <f>STANDARDIZE(Dataset!AN6,'standardized values'!$AB$23,'standardized values'!$AD$23)</f>
        <v>-0.22525699487101045</v>
      </c>
      <c r="N6">
        <f>STANDARDIZE(Dataset!AO6,'standardized values'!$AB$24,'standardized values'!$AD$24)</f>
        <v>-0.11945243799658488</v>
      </c>
      <c r="O6">
        <f>STANDARDIZE(Dataset!AP6,'standardized values'!$AB$27,'standardized values'!$AD$27)</f>
        <v>-0.90251955185814281</v>
      </c>
      <c r="P6">
        <f>STANDARDIZE(Dataset!AQ6,'standardized values'!$AB$28,'standardized values'!$AD$28)</f>
        <v>-0.20202571758029944</v>
      </c>
      <c r="Q6">
        <f>STANDARDIZE(Dataset!AD6,'standardized values'!$AB$15,'standardized values'!$AD$15)</f>
        <v>0.43112313591272799</v>
      </c>
      <c r="R6">
        <f>STANDARDIZE(Dataset!AE6,'standardized values'!$AB$16,'standardized values'!$AD$16)</f>
        <v>0.3134425628284106</v>
      </c>
      <c r="S6">
        <f>STANDARDIZE(Dataset!AF6,'standardized values'!$AB$17,'standardized values'!$AD$17)</f>
        <v>0.43573572109713293</v>
      </c>
      <c r="T6">
        <f>STANDARDIZE(Dataset!AG6,'standardized values'!$AB$18,'standardized values'!$AD$18)</f>
        <v>-1.9394522711031498E-2</v>
      </c>
      <c r="U6">
        <f>STANDARDIZE(Dataset!AH6,'standardized values'!$AB$19,'standardized values'!$AD$19)</f>
        <v>-0.1238551012651446</v>
      </c>
      <c r="V6">
        <f>STANDARDIZE(Dataset!AR6,AVERAGE(Dataset!$AR$2:$AR$51),STDEV(Dataset!$AR$2:$AR$51))</f>
        <v>-0.81310929573532253</v>
      </c>
      <c r="W6">
        <f>STANDARDIZE(Dataset!AS6,AVERAGE(Dataset!$AS$2:$AS$51),STDEV(Dataset!$AS$2:$AS$51))</f>
        <v>-0.89465854459990213</v>
      </c>
      <c r="X6">
        <f>STANDARDIZE(Dataset!AT6,AVERAGE(Dataset!$AT$2:$AT$51),STDEV(Dataset!$AT$2:$AT$51))</f>
        <v>-0.84845905608648364</v>
      </c>
      <c r="AB6" s="92"/>
      <c r="AH6" s="8" t="s">
        <v>47</v>
      </c>
      <c r="AI6" s="31">
        <f t="shared" si="0"/>
        <v>-2.5562268964217081</v>
      </c>
      <c r="AJ6" s="31">
        <f t="shared" si="1"/>
        <v>-1.9191401263246581</v>
      </c>
      <c r="AK6" s="31">
        <f t="shared" si="2"/>
        <v>0.60997887292659581</v>
      </c>
      <c r="AL6" s="31">
        <f t="shared" si="3"/>
        <v>-0.77579406355089164</v>
      </c>
      <c r="AM6" s="31">
        <f t="shared" si="4"/>
        <v>-1.1045452694384423</v>
      </c>
      <c r="AN6" s="31">
        <f t="shared" si="5"/>
        <v>-1.0611347541546885</v>
      </c>
      <c r="AO6" s="31"/>
    </row>
    <row r="7" spans="1:41" ht="15.75" customHeight="1" x14ac:dyDescent="0.25">
      <c r="A7" t="s">
        <v>48</v>
      </c>
      <c r="B7" s="8" t="s">
        <v>49</v>
      </c>
      <c r="C7" s="8">
        <v>2015</v>
      </c>
      <c r="D7">
        <f>STANDARDIZE(Dataset!X7,'standardized values'!$AB$9,'standardized values'!$AD$9)</f>
        <v>-0.3968048267588567</v>
      </c>
      <c r="E7">
        <f>STANDARDIZE(Dataset!Y7,'standardized values'!$AB$10,'standardized values'!$AD$10)</f>
        <v>-0.5010059199798762</v>
      </c>
      <c r="F7">
        <f>STANDARDIZE(Dataset!Z7,'standardized values'!$AB$11,'standardized values'!$AD$11)</f>
        <v>-0.50180286969470544</v>
      </c>
      <c r="G7">
        <f>STANDARDIZE(Dataset!AA7,'standardized values'!$AB$12,'standardized values'!$AD$12)</f>
        <v>-0.10640946840332087</v>
      </c>
      <c r="H7">
        <f>STANDARDIZE(Dataset!AB7,'standardized values'!$AB$13,'standardized values'!$AD$13)</f>
        <v>-5.1573746283777432E-3</v>
      </c>
      <c r="I7">
        <f>STANDARDIZE(Dataset!AC7,'standardized values'!$AB$14,'standardized values'!$AD$14)</f>
        <v>0.24609366495634413</v>
      </c>
      <c r="J7">
        <f>STANDARDIZE(Dataset!AK7,'standardized values'!$AB$20,'standardized values'!$AD$20)</f>
        <v>-0.42046227434120675</v>
      </c>
      <c r="K7">
        <f>STANDARDIZE(Dataset!AL7,'standardized values'!$AB$21,'standardized values'!$AD$21)</f>
        <v>-0.28580863702990095</v>
      </c>
      <c r="L7">
        <f>STANDARDIZE(Dataset!AM7,'standardized values'!$AB$22,'standardized values'!$AD$22)</f>
        <v>0.4970666646490714</v>
      </c>
      <c r="M7">
        <f>STANDARDIZE(Dataset!AN7,'standardized values'!$AB$23,'standardized values'!$AD$23)</f>
        <v>0.70568740119604667</v>
      </c>
      <c r="N7">
        <f>STANDARDIZE(Dataset!AO7,'standardized values'!$AB$24,'standardized values'!$AD$24)</f>
        <v>0.64195038804427262</v>
      </c>
      <c r="O7">
        <f>STANDARDIZE(Dataset!AP7,'standardized values'!$AB$27,'standardized values'!$AD$27)</f>
        <v>-0.26207356992146186</v>
      </c>
      <c r="P7">
        <f>STANDARDIZE(Dataset!AQ7,'standardized values'!$AB$28,'standardized values'!$AD$28)</f>
        <v>-0.17879680773610368</v>
      </c>
      <c r="Q7">
        <f>STANDARDIZE(Dataset!AD7,'standardized values'!$AB$15,'standardized values'!$AD$15)</f>
        <v>-0.20055585864168757</v>
      </c>
      <c r="R7">
        <f>STANDARDIZE(Dataset!AE7,'standardized values'!$AB$16,'standardized values'!$AD$16)</f>
        <v>-0.31983865318874488</v>
      </c>
      <c r="S7">
        <f>STANDARDIZE(Dataset!AF7,'standardized values'!$AB$17,'standardized values'!$AD$17)</f>
        <v>-0.93702213569806458</v>
      </c>
      <c r="T7">
        <f>STANDARDIZE(Dataset!AG7,'standardized values'!$AB$18,'standardized values'!$AD$18)</f>
        <v>-0.71200894091282019</v>
      </c>
      <c r="U7">
        <f>STANDARDIZE(Dataset!AH7,'standardized values'!$AB$19,'standardized values'!$AD$19)</f>
        <v>-0.62031512574008829</v>
      </c>
      <c r="V7">
        <f>STANDARDIZE(Dataset!AR7,AVERAGE(Dataset!$AR$2:$AR$51),STDEV(Dataset!$AR$2:$AR$51))</f>
        <v>-0.56374859356753071</v>
      </c>
      <c r="W7">
        <f>STANDARDIZE(Dataset!AS7,AVERAGE(Dataset!$AS$2:$AS$51),STDEV(Dataset!$AS$2:$AS$51))</f>
        <v>-0.64439665620196562</v>
      </c>
      <c r="X7">
        <f>STANDARDIZE(Dataset!AT7,AVERAGE(Dataset!$AT$2:$AT$51),STDEV(Dataset!$AT$2:$AT$51))</f>
        <v>-0.65921727430516242</v>
      </c>
      <c r="Z7" s="27" t="s">
        <v>188</v>
      </c>
      <c r="AA7" s="27"/>
      <c r="AB7" s="27"/>
      <c r="AC7" s="27"/>
      <c r="AD7" s="27"/>
      <c r="AE7" s="27"/>
      <c r="AF7" s="27"/>
      <c r="AH7" s="8" t="s">
        <v>49</v>
      </c>
      <c r="AI7" s="31">
        <f t="shared" si="0"/>
        <v>-1.8673625240746587</v>
      </c>
      <c r="AJ7" s="31">
        <f t="shared" si="1"/>
        <v>-0.46017724641476354</v>
      </c>
      <c r="AK7" s="31">
        <f t="shared" si="2"/>
        <v>-0.11156684303169861</v>
      </c>
      <c r="AL7" s="31">
        <f t="shared" si="3"/>
        <v>1.8447044538893906</v>
      </c>
      <c r="AM7" s="31">
        <f t="shared" si="4"/>
        <v>-0.44087037765756554</v>
      </c>
      <c r="AN7" s="31">
        <f t="shared" si="5"/>
        <v>-0.59825959550551877</v>
      </c>
      <c r="AO7" s="31"/>
    </row>
    <row r="8" spans="1:41" s="8" customFormat="1" ht="15.75" customHeight="1" x14ac:dyDescent="0.25">
      <c r="A8" s="8" t="s">
        <v>51</v>
      </c>
      <c r="B8" s="8" t="s">
        <v>52</v>
      </c>
      <c r="C8" s="8">
        <v>2015</v>
      </c>
      <c r="D8">
        <f>STANDARDIZE(Dataset!X8,'standardized values'!$AB$9,'standardized values'!$AD$9)</f>
        <v>-0.61975395376201026</v>
      </c>
      <c r="E8">
        <f>STANDARDIZE(Dataset!Y8,'standardized values'!$AB$10,'standardized values'!$AD$10)</f>
        <v>-0.68917414009672295</v>
      </c>
      <c r="F8">
        <f>STANDARDIZE(Dataset!Z8,'standardized values'!$AB$11,'standardized values'!$AD$11)</f>
        <v>-0.73880119149369117</v>
      </c>
      <c r="G8">
        <f>STANDARDIZE(Dataset!AA8,'standardized values'!$AB$12,'standardized values'!$AD$12)</f>
        <v>0.94511715832205434</v>
      </c>
      <c r="H8">
        <f>STANDARDIZE(Dataset!AB8,'standardized values'!$AB$13,'standardized values'!$AD$13)</f>
        <v>0.66259194439994318</v>
      </c>
      <c r="I8">
        <f>STANDARDIZE(Dataset!AC8,'standardized values'!$AB$14,'standardized values'!$AD$14)</f>
        <v>-2.0801146277656524</v>
      </c>
      <c r="J8">
        <f>STANDARDIZE(Dataset!AK8,'standardized values'!$AB$20,'standardized values'!$AD$20)</f>
        <v>-0.8769751314875962</v>
      </c>
      <c r="K8">
        <f>STANDARDIZE(Dataset!AL8,'standardized values'!$AB$21,'standardized values'!$AD$21)</f>
        <v>-0.85150434271169639</v>
      </c>
      <c r="L8">
        <f>STANDARDIZE(Dataset!AM8,'standardized values'!$AB$22,'standardized values'!$AD$22)</f>
        <v>-0.2919561548560432</v>
      </c>
      <c r="M8">
        <f>STANDARDIZE(Dataset!AN8,'standardized values'!$AB$23,'standardized values'!$AD$23)</f>
        <v>0.14922433880831193</v>
      </c>
      <c r="N8">
        <f>STANDARDIZE(Dataset!AO8,'standardized values'!$AB$24,'standardized values'!$AD$24)</f>
        <v>0.43846202354244102</v>
      </c>
      <c r="O8">
        <f>STANDARDIZE(Dataset!AP8,'standardized values'!$AB$27,'standardized values'!$AD$27)</f>
        <v>-0.62074582067998008</v>
      </c>
      <c r="P8">
        <f>STANDARDIZE(Dataset!AQ8,'standardized values'!$AB$28,'standardized values'!$AD$28)</f>
        <v>-0.20529887233942051</v>
      </c>
      <c r="Q8">
        <f>STANDARDIZE(Dataset!AD8,'standardized values'!$AB$15,'standardized values'!$AD$15)</f>
        <v>2.1941449571939402</v>
      </c>
      <c r="R8">
        <f>STANDARDIZE(Dataset!AE8,'standardized values'!$AB$16,'standardized values'!$AD$16)</f>
        <v>3.0355256963388038</v>
      </c>
      <c r="S8">
        <f>STANDARDIZE(Dataset!AF8,'standardized values'!$AB$17,'standardized values'!$AD$17)</f>
        <v>0.1293102524701937</v>
      </c>
      <c r="T8">
        <f>STANDARDIZE(Dataset!AG8,'standardized values'!$AB$18,'standardized values'!$AD$18)</f>
        <v>-0.33248092828342246</v>
      </c>
      <c r="U8">
        <f>STANDARDIZE(Dataset!AH8,'standardized values'!$AB$19,'standardized values'!$AD$19)</f>
        <v>-0.50361248415300641</v>
      </c>
      <c r="V8">
        <f>STANDARDIZE(Dataset!AR8,AVERAGE(Dataset!$AR$2:$AR$51),STDEV(Dataset!$AR$2:$AR$51))</f>
        <v>-0.96502756503088349</v>
      </c>
      <c r="W8">
        <f>STANDARDIZE(Dataset!AS8,AVERAGE(Dataset!$AS$2:$AS$51),STDEV(Dataset!$AS$2:$AS$51))</f>
        <v>-0.9233779026785327</v>
      </c>
      <c r="X8">
        <f>STANDARDIZE(Dataset!AT8,AVERAGE(Dataset!$AT$2:$AT$51),STDEV(Dataset!$AT$2:$AT$51))</f>
        <v>-1.0217319586581568</v>
      </c>
      <c r="Y8"/>
      <c r="Z8"/>
      <c r="AA8" t="s">
        <v>31</v>
      </c>
      <c r="AB8" t="s">
        <v>32</v>
      </c>
      <c r="AC8" s="8" t="s">
        <v>33</v>
      </c>
      <c r="AD8" s="8" t="s">
        <v>34</v>
      </c>
      <c r="AE8" s="8" t="s">
        <v>35</v>
      </c>
      <c r="AF8" s="8" t="s">
        <v>36</v>
      </c>
      <c r="AH8" s="8" t="s">
        <v>52</v>
      </c>
      <c r="AI8" s="31">
        <f t="shared" si="0"/>
        <v>-2.910137426367573</v>
      </c>
      <c r="AJ8" s="31">
        <f t="shared" si="1"/>
        <v>-3.8085941019649452</v>
      </c>
      <c r="AK8" s="31">
        <f t="shared" si="2"/>
        <v>1.6077091027219974</v>
      </c>
      <c r="AL8" s="31">
        <f t="shared" si="3"/>
        <v>0.29573020749470974</v>
      </c>
      <c r="AM8" s="31">
        <f t="shared" si="4"/>
        <v>-0.82604469301940053</v>
      </c>
      <c r="AN8" s="31">
        <f t="shared" si="5"/>
        <v>-0.88974077202491508</v>
      </c>
      <c r="AO8" s="31"/>
    </row>
    <row r="9" spans="1:41" s="8" customFormat="1" ht="15.75" customHeight="1" x14ac:dyDescent="0.25">
      <c r="A9" s="8" t="s">
        <v>54</v>
      </c>
      <c r="B9" s="8" t="s">
        <v>55</v>
      </c>
      <c r="C9" s="8">
        <v>2015</v>
      </c>
      <c r="D9">
        <f>STANDARDIZE(Dataset!X9,'standardized values'!$AB$9,'standardized values'!$AD$9)</f>
        <v>-0.10426309988339047</v>
      </c>
      <c r="E9">
        <f>STANDARDIZE(Dataset!Y9,'standardized values'!$AB$10,'standardized values'!$AD$10)</f>
        <v>-9.0606748339281909E-2</v>
      </c>
      <c r="F9">
        <f>STANDARDIZE(Dataset!Z9,'standardized values'!$AB$11,'standardized values'!$AD$11)</f>
        <v>-0.14948849332411779</v>
      </c>
      <c r="G9">
        <f>STANDARDIZE(Dataset!AA9,'standardized values'!$AB$12,'standardized values'!$AD$12)</f>
        <v>-0.38024652599466979</v>
      </c>
      <c r="H9">
        <f>STANDARDIZE(Dataset!AB9,'standardized values'!$AB$13,'standardized values'!$AD$13)</f>
        <v>-9.6114564152197629E-2</v>
      </c>
      <c r="I9">
        <f>STANDARDIZE(Dataset!AC9,'standardized values'!$AB$14,'standardized values'!$AD$14)</f>
        <v>5.0643113824548419E-2</v>
      </c>
      <c r="J9">
        <f>STANDARDIZE(Dataset!AK9,'standardized values'!$AB$20,'standardized values'!$AD$20)</f>
        <v>-0.53594902074716522</v>
      </c>
      <c r="K9">
        <f>STANDARDIZE(Dataset!AL9,'standardized values'!$AB$21,'standardized values'!$AD$21)</f>
        <v>-0.68185026201723931</v>
      </c>
      <c r="L9">
        <f>STANDARDIZE(Dataset!AM9,'standardized values'!$AB$22,'standardized values'!$AD$22)</f>
        <v>-0.84312156696005691</v>
      </c>
      <c r="M9">
        <f>STANDARDIZE(Dataset!AN9,'standardized values'!$AB$23,'standardized values'!$AD$23)</f>
        <v>-1.3629684119344354</v>
      </c>
      <c r="N9">
        <f>STANDARDIZE(Dataset!AO9,'standardized values'!$AB$24,'standardized values'!$AD$24)</f>
        <v>-1.3946646418000812</v>
      </c>
      <c r="O9">
        <f>STANDARDIZE(Dataset!AP9,'standardized values'!$AB$27,'standardized values'!$AD$27)</f>
        <v>1.1350721165840709</v>
      </c>
      <c r="P9">
        <f>STANDARDIZE(Dataset!AQ9,'standardized values'!$AB$28,'standardized values'!$AD$28)</f>
        <v>-0.20595303076986368</v>
      </c>
      <c r="Q9">
        <f>STANDARDIZE(Dataset!AD9,'standardized values'!$AB$15,'standardized values'!$AD$15)</f>
        <v>-4.1602419834681562E-2</v>
      </c>
      <c r="R9">
        <f>STANDARDIZE(Dataset!AE9,'standardized values'!$AB$16,'standardized values'!$AD$16)</f>
        <v>0.71458820708370385</v>
      </c>
      <c r="S9">
        <f>STANDARDIZE(Dataset!AF9,'standardized values'!$AB$17,'standardized values'!$AD$17)</f>
        <v>1.8142399799656466</v>
      </c>
      <c r="T9">
        <f>STANDARDIZE(Dataset!AG9,'standardized values'!$AB$18,'standardized values'!$AD$18)</f>
        <v>1.4136937459127259</v>
      </c>
      <c r="U9">
        <f>STANDARDIZE(Dataset!AH9,'standardized values'!$AB$19,'standardized values'!$AD$19)</f>
        <v>1.3124937170949171</v>
      </c>
      <c r="V9">
        <f>STANDARDIZE(Dataset!AR9,AVERAGE(Dataset!$AR$2:$AR$51),STDEV(Dataset!$AR$2:$AR$51))</f>
        <v>-3.7212137252814269E-2</v>
      </c>
      <c r="W9">
        <f>STANDARDIZE(Dataset!AS9,AVERAGE(Dataset!$AS$2:$AS$51),STDEV(Dataset!$AS$2:$AS$51))</f>
        <v>-3.5932206752709368E-2</v>
      </c>
      <c r="X9">
        <f>STANDARDIZE(Dataset!AT9,AVERAGE(Dataset!$AT$2:$AT$51),STDEV(Dataset!$AT$2:$AT$51))</f>
        <v>-0.12031415476605928</v>
      </c>
      <c r="Y9"/>
      <c r="Z9" t="s">
        <v>39</v>
      </c>
      <c r="AA9" s="66">
        <v>50</v>
      </c>
      <c r="AB9" s="76">
        <f>AVERAGE(Dataset!$X$2:$X$51)</f>
        <v>2.677299561740369</v>
      </c>
      <c r="AC9" s="76">
        <f>MEDIAN(Dataset!$X$2:$X$51)</f>
        <v>1.7034546210914097</v>
      </c>
      <c r="AD9" s="76">
        <f>STDEV(Dataset!$X$2:$X$51)</f>
        <v>3.6080063006690848</v>
      </c>
      <c r="AE9" s="19">
        <f>MAX(Dataset!$X$2:$X$51)</f>
        <v>24.687711248251919</v>
      </c>
      <c r="AF9" s="19">
        <f>MIN(Dataset!$X$2:$X$51)</f>
        <v>0.44122339170245906</v>
      </c>
      <c r="AH9" s="8" t="s">
        <v>55</v>
      </c>
      <c r="AI9" s="31">
        <f t="shared" si="0"/>
        <v>-0.19345849877158292</v>
      </c>
      <c r="AJ9" s="31">
        <f t="shared" si="1"/>
        <v>-1.1671561689398562</v>
      </c>
      <c r="AK9" s="31">
        <f t="shared" si="2"/>
        <v>-0.47636109014686745</v>
      </c>
      <c r="AL9" s="31">
        <f t="shared" si="3"/>
        <v>-3.6007546206945733</v>
      </c>
      <c r="AM9" s="31">
        <f t="shared" si="4"/>
        <v>0.92911908581420721</v>
      </c>
      <c r="AN9" s="31">
        <f t="shared" si="5"/>
        <v>-0.61831602650347994</v>
      </c>
      <c r="AO9" s="31"/>
    </row>
    <row r="10" spans="1:41" s="8" customFormat="1" ht="15.75" customHeight="1" x14ac:dyDescent="0.25">
      <c r="A10" s="8" t="s">
        <v>57</v>
      </c>
      <c r="B10" s="8" t="s">
        <v>58</v>
      </c>
      <c r="C10" s="8">
        <v>2015</v>
      </c>
      <c r="D10">
        <f>STANDARDIZE(Dataset!X10,'standardized values'!$AB$9,'standardized values'!$AD$9)</f>
        <v>1.5278562688800144</v>
      </c>
      <c r="E10">
        <f>STANDARDIZE(Dataset!Y10,'standardized values'!$AB$10,'standardized values'!$AD$10)</f>
        <v>1.6664703972053181</v>
      </c>
      <c r="F10">
        <f>STANDARDIZE(Dataset!Z10,'standardized values'!$AB$11,'standardized values'!$AD$11)</f>
        <v>1.5876312824628889</v>
      </c>
      <c r="G10">
        <f>STANDARDIZE(Dataset!AA10,'standardized values'!$AB$12,'standardized values'!$AD$12)</f>
        <v>0.52065034205818583</v>
      </c>
      <c r="H10">
        <f>STANDARDIZE(Dataset!AB10,'standardized values'!$AB$13,'standardized values'!$AD$13)</f>
        <v>0.13439586942832238</v>
      </c>
      <c r="I10">
        <f>STANDARDIZE(Dataset!AC10,'standardized values'!$AB$14,'standardized values'!$AD$14)</f>
        <v>0.37439023073266869</v>
      </c>
      <c r="J10">
        <f>STANDARDIZE(Dataset!AK10,'standardized values'!$AB$20,'standardized values'!$AD$20)</f>
        <v>-0.20173802501872876</v>
      </c>
      <c r="K10">
        <f>STANDARDIZE(Dataset!AL10,'standardized values'!$AB$21,'standardized values'!$AD$21)</f>
        <v>-6.126794257633441E-2</v>
      </c>
      <c r="L10">
        <f>STANDARDIZE(Dataset!AM10,'standardized values'!$AB$22,'standardized values'!$AD$22)</f>
        <v>0.54156101052859051</v>
      </c>
      <c r="M10">
        <f>STANDARDIZE(Dataset!AN10,'standardized values'!$AB$23,'standardized values'!$AD$23)</f>
        <v>1.5439792532959078</v>
      </c>
      <c r="N10">
        <f>STANDARDIZE(Dataset!AO10,'standardized values'!$AB$24,'standardized values'!$AD$24)</f>
        <v>1.7012969560363185</v>
      </c>
      <c r="O10">
        <f>STANDARDIZE(Dataset!AP10,'standardized values'!$AB$27,'standardized values'!$AD$27)</f>
        <v>1.1736329302548667</v>
      </c>
      <c r="P10">
        <f>STANDARDIZE(Dataset!AQ10,'standardized values'!$AB$28,'standardized values'!$AD$28)</f>
        <v>-0.19637121504201169</v>
      </c>
      <c r="Q10">
        <f>STANDARDIZE(Dataset!AD10,'standardized values'!$AB$15,'standardized values'!$AD$15)</f>
        <v>-0.37529137134895024</v>
      </c>
      <c r="R10">
        <f>STANDARDIZE(Dataset!AE10,'standardized values'!$AB$16,'standardized values'!$AD$16)</f>
        <v>-0.51230778197186588</v>
      </c>
      <c r="S10">
        <f>STANDARDIZE(Dataset!AF10,'standardized values'!$AB$17,'standardized values'!$AD$17)</f>
        <v>-0.97666850246846793</v>
      </c>
      <c r="T10">
        <f>STANDARDIZE(Dataset!AG10,'standardized values'!$AB$18,'standardized values'!$AD$18)</f>
        <v>-1.1484050451744401</v>
      </c>
      <c r="U10">
        <f>STANDARDIZE(Dataset!AH10,'standardized values'!$AB$19,'standardized values'!$AD$19)</f>
        <v>-1.0977248561851489</v>
      </c>
      <c r="V10">
        <f>STANDARDIZE(Dataset!AR10,AVERAGE(Dataset!$AR$2:$AR$51),STDEV(Dataset!$AR$2:$AR$51))</f>
        <v>2.9003870828308402</v>
      </c>
      <c r="W10">
        <f>STANDARDIZE(Dataset!AS10,AVERAGE(Dataset!$AS$2:$AS$51),STDEV(Dataset!$AS$2:$AS$51))</f>
        <v>2.5691387872500346</v>
      </c>
      <c r="X10">
        <f>STANDARDIZE(Dataset!AT10,AVERAGE(Dataset!$AT$2:$AT$51),STDEV(Dataset!$AT$2:$AT$51))</f>
        <v>2.5367992898468055</v>
      </c>
      <c r="Y10"/>
      <c r="Z10" t="s">
        <v>42</v>
      </c>
      <c r="AA10" s="66">
        <v>50</v>
      </c>
      <c r="AB10" s="76">
        <f>AVERAGE(Dataset!$Y$2:$Y$51)</f>
        <v>3.6618602566019445</v>
      </c>
      <c r="AC10" s="76">
        <f>MEDIAN(Dataset!$Y$2:$Y$51)</f>
        <v>2.4531143049988158</v>
      </c>
      <c r="AD10" s="76">
        <f>STDEV(Dataset!$Y$2:$Y$51)</f>
        <v>3.7993306698618747</v>
      </c>
      <c r="AE10" s="19">
        <f>MAX(Dataset!$Y$2:$Y$51)</f>
        <v>25.128892220776599</v>
      </c>
      <c r="AF10" s="19">
        <f>MIN(Dataset!$Y$2:$Y$51)</f>
        <v>0.96465868149657896</v>
      </c>
      <c r="AH10" s="8" t="s">
        <v>58</v>
      </c>
      <c r="AI10" s="31">
        <f t="shared" si="0"/>
        <v>8.0063251599276803</v>
      </c>
      <c r="AJ10" s="31">
        <f t="shared" si="1"/>
        <v>0.11138426313760552</v>
      </c>
      <c r="AK10" s="31">
        <f t="shared" si="2"/>
        <v>0.65504621148650821</v>
      </c>
      <c r="AL10" s="31">
        <f t="shared" si="3"/>
        <v>3.7868372198608169</v>
      </c>
      <c r="AM10" s="31">
        <f t="shared" si="4"/>
        <v>0.97726171521285499</v>
      </c>
      <c r="AN10" s="31">
        <f t="shared" si="5"/>
        <v>3.5190282998160933</v>
      </c>
      <c r="AO10" s="31"/>
    </row>
    <row r="11" spans="1:41" s="8" customFormat="1" ht="15.75" customHeight="1" x14ac:dyDescent="0.25">
      <c r="A11" s="8" t="s">
        <v>60</v>
      </c>
      <c r="B11" s="8" t="s">
        <v>61</v>
      </c>
      <c r="C11" s="8">
        <v>2015</v>
      </c>
      <c r="D11">
        <f>STANDARDIZE(Dataset!X11,'standardized values'!$AB$9,'standardized values'!$AD$9)</f>
        <v>-0.22623173089193288</v>
      </c>
      <c r="E11">
        <f>STANDARDIZE(Dataset!Y11,'standardized values'!$AB$10,'standardized values'!$AD$10)</f>
        <v>-0.21036554311431171</v>
      </c>
      <c r="F11">
        <f>STANDARDIZE(Dataset!Z11,'standardized values'!$AB$11,'standardized values'!$AD$11)</f>
        <v>-0.25574470972021579</v>
      </c>
      <c r="G11">
        <f>STANDARDIZE(Dataset!AA11,'standardized values'!$AB$12,'standardized values'!$AD$12)</f>
        <v>0.15101003481010611</v>
      </c>
      <c r="H11">
        <f>STANDARDIZE(Dataset!AB11,'standardized values'!$AB$13,'standardized values'!$AD$13)</f>
        <v>6.1953077339994236E-2</v>
      </c>
      <c r="I11">
        <f>STANDARDIZE(Dataset!AC11,'standardized values'!$AB$14,'standardized values'!$AD$14)</f>
        <v>0.16051679234402619</v>
      </c>
      <c r="J11">
        <f>STANDARDIZE(Dataset!AK11,'standardized values'!$AB$20,'standardized values'!$AD$20)</f>
        <v>-0.43475341573350629</v>
      </c>
      <c r="K11">
        <f>STANDARDIZE(Dataset!AL11,'standardized values'!$AB$21,'standardized values'!$AD$21)</f>
        <v>-2.6598379660090307E-2</v>
      </c>
      <c r="L11">
        <f>STANDARDIZE(Dataset!AM11,'standardized values'!$AB$22,'standardized values'!$AD$22)</f>
        <v>0.23651575870802671</v>
      </c>
      <c r="M11">
        <f>STANDARDIZE(Dataset!AN11,'standardized values'!$AB$23,'standardized values'!$AD$23)</f>
        <v>0.37882074404621963</v>
      </c>
      <c r="N11">
        <f>STANDARDIZE(Dataset!AO11,'standardized values'!$AB$24,'standardized values'!$AD$24)</f>
        <v>0.41380103297556914</v>
      </c>
      <c r="O11">
        <f>STANDARDIZE(Dataset!AP11,'standardized values'!$AB$27,'standardized values'!$AD$27)</f>
        <v>0.34578530036971705</v>
      </c>
      <c r="P11">
        <f>STANDARDIZE(Dataset!AQ11,'standardized values'!$AB$28,'standardized values'!$AD$28)</f>
        <v>-0.20255341257706305</v>
      </c>
      <c r="Q11">
        <f>STANDARDIZE(Dataset!AD11,'standardized values'!$AB$15,'standardized values'!$AD$15)</f>
        <v>-0.18441806352708967</v>
      </c>
      <c r="R11">
        <f>STANDARDIZE(Dataset!AE11,'standardized values'!$AB$16,'standardized values'!$AD$16)</f>
        <v>-0.53398792696219122</v>
      </c>
      <c r="S11">
        <f>STANDARDIZE(Dataset!AF11,'standardized values'!$AB$17,'standardized values'!$AD$17)</f>
        <v>-0.67179103959360775</v>
      </c>
      <c r="T11">
        <f>STANDARDIZE(Dataset!AG11,'standardized values'!$AB$18,'standardized values'!$AD$18)</f>
        <v>-0.49990317958700337</v>
      </c>
      <c r="U11">
        <f>STANDARDIZE(Dataset!AH11,'standardized values'!$AB$19,'standardized values'!$AD$19)</f>
        <v>-0.48876891187598459</v>
      </c>
      <c r="V11">
        <f>STANDARDIZE(Dataset!AR11,AVERAGE(Dataset!$AR$2:$AR$51),STDEV(Dataset!$AR$2:$AR$51))</f>
        <v>-0.25673955796888098</v>
      </c>
      <c r="W11">
        <f>STANDARDIZE(Dataset!AS11,AVERAGE(Dataset!$AS$2:$AS$51),STDEV(Dataset!$AS$2:$AS$51))</f>
        <v>-0.21348853280034025</v>
      </c>
      <c r="X11">
        <f>STANDARDIZE(Dataset!AT11,AVERAGE(Dataset!$AT$2:$AT$51),STDEV(Dataset!$AT$2:$AT$51))</f>
        <v>-0.28284458306185911</v>
      </c>
      <c r="Y11"/>
      <c r="Z11" s="8" t="s">
        <v>45</v>
      </c>
      <c r="AA11" s="66">
        <v>50</v>
      </c>
      <c r="AB11" s="76">
        <f>AVERAGE(Dataset!$Z$2:$Z$51)</f>
        <v>3.9346128736049866</v>
      </c>
      <c r="AC11" s="76">
        <f>MEDIAN(Dataset!$Z$2:$Z$51)</f>
        <v>2.7652542429342217</v>
      </c>
      <c r="AD11" s="76">
        <f>STDEV(Dataset!$Z$2:$Z$51)</f>
        <v>3.8244347994245986</v>
      </c>
      <c r="AE11" s="19">
        <f>MAX(Dataset!$Z$2:$Z$51)</f>
        <v>25.720432202269549</v>
      </c>
      <c r="AF11" s="19">
        <f>MIN(Dataset!$Z$2:$Z$51)</f>
        <v>1.1091158870001576</v>
      </c>
      <c r="AH11" s="8" t="s">
        <v>61</v>
      </c>
      <c r="AI11" s="31">
        <f t="shared" si="0"/>
        <v>-0.75307267383108034</v>
      </c>
      <c r="AJ11" s="31">
        <f t="shared" si="1"/>
        <v>-0.30083500304957039</v>
      </c>
      <c r="AK11" s="31">
        <f t="shared" si="2"/>
        <v>0.21296311215010033</v>
      </c>
      <c r="AL11" s="31">
        <f t="shared" si="3"/>
        <v>1.0291375357298156</v>
      </c>
      <c r="AM11" s="31">
        <f t="shared" si="4"/>
        <v>0.143231887792654</v>
      </c>
      <c r="AN11" s="31">
        <f t="shared" si="5"/>
        <v>-0.10188490454105309</v>
      </c>
      <c r="AO11" s="31"/>
    </row>
    <row r="12" spans="1:41" s="8" customFormat="1" ht="15.75" customHeight="1" x14ac:dyDescent="0.25">
      <c r="A12" s="8" t="s">
        <v>62</v>
      </c>
      <c r="B12" s="8" t="s">
        <v>63</v>
      </c>
      <c r="C12" s="8">
        <v>2015</v>
      </c>
      <c r="D12">
        <f>STANDARDIZE(Dataset!X12,'standardized values'!$AB$9,'standardized values'!$AD$9)</f>
        <v>-1.0771620754761946E-2</v>
      </c>
      <c r="E12">
        <f>STANDARDIZE(Dataset!Y12,'standardized values'!$AB$10,'standardized values'!$AD$10)</f>
        <v>-3.8214245092395634E-2</v>
      </c>
      <c r="F12">
        <f>STANDARDIZE(Dataset!Z12,'standardized values'!$AB$11,'standardized values'!$AD$11)</f>
        <v>-5.6288472388076577E-2</v>
      </c>
      <c r="G12">
        <f>STANDARDIZE(Dataset!AA12,'standardized values'!$AB$12,'standardized values'!$AD$12)</f>
        <v>-0.160684700234278</v>
      </c>
      <c r="H12">
        <f>STANDARDIZE(Dataset!AB12,'standardized values'!$AB$13,'standardized values'!$AD$13)</f>
        <v>2.0796056706393177E-2</v>
      </c>
      <c r="I12">
        <f>STANDARDIZE(Dataset!AC12,'standardized values'!$AB$14,'standardized values'!$AD$14)</f>
        <v>-2.5771016756890894E-2</v>
      </c>
      <c r="J12">
        <f>STANDARDIZE(Dataset!AK12,'standardized values'!$AB$20,'standardized values'!$AD$20)</f>
        <v>-0.69078930630933</v>
      </c>
      <c r="K12">
        <f>STANDARDIZE(Dataset!AL12,'standardized values'!$AB$21,'standardized values'!$AD$21)</f>
        <v>-0.8043752257082879</v>
      </c>
      <c r="L12">
        <f>STANDARDIZE(Dataset!AM12,'standardized values'!$AB$22,'standardized values'!$AD$22)</f>
        <v>-0.80050304595086685</v>
      </c>
      <c r="M12">
        <f>STANDARDIZE(Dataset!AN12,'standardized values'!$AB$23,'standardized values'!$AD$23)</f>
        <v>-0.85994845098197892</v>
      </c>
      <c r="N12">
        <f>STANDARDIZE(Dataset!AO12,'standardized values'!$AB$24,'standardized values'!$AD$24)</f>
        <v>-0.86956228529066759</v>
      </c>
      <c r="O12">
        <f>STANDARDIZE(Dataset!AP12,'standardized values'!$AB$27,'standardized values'!$AD$27)</f>
        <v>-1.0639142245776509</v>
      </c>
      <c r="P12">
        <f>STANDARDIZE(Dataset!AQ12,'standardized values'!$AB$28,'standardized values'!$AD$28)</f>
        <v>-0.20594589580754341</v>
      </c>
      <c r="Q12">
        <f>STANDARDIZE(Dataset!AD12,'standardized values'!$AB$15,'standardized values'!$AD$15)</f>
        <v>0.35887409455218228</v>
      </c>
      <c r="R12">
        <f>STANDARDIZE(Dataset!AE12,'standardized values'!$AB$16,'standardized values'!$AD$16)</f>
        <v>1.9534130465115684</v>
      </c>
      <c r="S12">
        <f>STANDARDIZE(Dataset!AF12,'standardized values'!$AB$17,'standardized values'!$AD$17)</f>
        <v>1.6239690018615971</v>
      </c>
      <c r="T12">
        <f>STANDARDIZE(Dataset!AG12,'standardized values'!$AB$18,'standardized values'!$AD$18)</f>
        <v>0.66477657476327923</v>
      </c>
      <c r="U12">
        <f>STANDARDIZE(Dataset!AH12,'standardized values'!$AB$19,'standardized values'!$AD$19)</f>
        <v>0.58759799755013742</v>
      </c>
      <c r="V12">
        <f>STANDARDIZE(Dataset!AR12,AVERAGE(Dataset!$AR$2:$AR$51),STDEV(Dataset!$AR$2:$AR$51))</f>
        <v>0.13106017262168412</v>
      </c>
      <c r="W12">
        <f>STANDARDIZE(Dataset!AS12,AVERAGE(Dataset!$AS$2:$AS$51),STDEV(Dataset!$AS$2:$AS$51))</f>
        <v>4.1745765929221225E-2</v>
      </c>
      <c r="X12">
        <f>STANDARDIZE(Dataset!AT12,AVERAGE(Dataset!$AT$2:$AT$51),STDEV(Dataset!$AT$2:$AT$51))</f>
        <v>2.2245403946672685E-2</v>
      </c>
      <c r="Y12"/>
      <c r="Z12" t="s">
        <v>186</v>
      </c>
      <c r="AA12" s="66">
        <v>50</v>
      </c>
      <c r="AB12" s="76">
        <f>AVERAGE(Dataset!$AA$2:$AA$51)</f>
        <v>1.0350357914657344</v>
      </c>
      <c r="AC12" s="76">
        <f>MEDIAN(Dataset!$AA$2:$AA$51)</f>
        <v>1.0383223797587653</v>
      </c>
      <c r="AD12" s="76">
        <f>STDEV(Dataset!$AA$2:$AA$51)</f>
        <v>7.4681954558278502E-2</v>
      </c>
      <c r="AE12" s="19">
        <f>MAX(Dataset!$AA$2:$AA$51)</f>
        <v>1.2665484920150087</v>
      </c>
      <c r="AF12" s="19">
        <f>MIN(Dataset!$AA$2:$AA$51)</f>
        <v>0.66942086428838787</v>
      </c>
      <c r="AH12" s="8" t="s">
        <v>63</v>
      </c>
      <c r="AI12" s="31">
        <f t="shared" si="0"/>
        <v>0.19505134249757802</v>
      </c>
      <c r="AJ12" s="31">
        <f t="shared" si="1"/>
        <v>-1.5209355487745086</v>
      </c>
      <c r="AK12" s="31">
        <f t="shared" si="2"/>
        <v>-0.13988864352788483</v>
      </c>
      <c r="AL12" s="31">
        <f t="shared" si="3"/>
        <v>-2.5300137822235134</v>
      </c>
      <c r="AM12" s="31">
        <f t="shared" si="4"/>
        <v>-1.2698601203851942</v>
      </c>
      <c r="AN12" s="31">
        <f t="shared" si="5"/>
        <v>-0.51277400049892907</v>
      </c>
      <c r="AO12" s="31"/>
    </row>
    <row r="13" spans="1:41" s="8" customFormat="1" ht="15.75" customHeight="1" x14ac:dyDescent="0.25">
      <c r="A13" s="8" t="s">
        <v>64</v>
      </c>
      <c r="B13" s="8" t="s">
        <v>65</v>
      </c>
      <c r="C13" s="8">
        <v>2015</v>
      </c>
      <c r="D13">
        <f>STANDARDIZE(Dataset!X13,'standardized values'!$AB$9,'standardized values'!$AD$9)</f>
        <v>0.32212923885771577</v>
      </c>
      <c r="E13">
        <f>STANDARDIZE(Dataset!Y13,'standardized values'!$AB$10,'standardized values'!$AD$10)</f>
        <v>0.32219431415136557</v>
      </c>
      <c r="F13">
        <f>STANDARDIZE(Dataset!Z13,'standardized values'!$AB$11,'standardized values'!$AD$11)</f>
        <v>0.402656573555362</v>
      </c>
      <c r="G13">
        <f>STANDARDIZE(Dataset!AA13,'standardized values'!$AB$12,'standardized values'!$AD$12)</f>
        <v>0.81502863559623495</v>
      </c>
      <c r="H13">
        <f>STANDARDIZE(Dataset!AB13,'standardized values'!$AB$13,'standardized values'!$AD$13)</f>
        <v>0.33158064386228603</v>
      </c>
      <c r="I13">
        <f>STANDARDIZE(Dataset!AC13,'standardized values'!$AB$14,'standardized values'!$AD$14)</f>
        <v>0.72461741561592319</v>
      </c>
      <c r="J13">
        <f>STANDARDIZE(Dataset!AK13,'standardized values'!$AB$20,'standardized values'!$AD$20)</f>
        <v>1.1701905570015376</v>
      </c>
      <c r="K13">
        <f>STANDARDIZE(Dataset!AL13,'standardized values'!$AB$21,'standardized values'!$AD$21)</f>
        <v>0.92405403689413101</v>
      </c>
      <c r="L13">
        <f>STANDARDIZE(Dataset!AM13,'standardized values'!$AB$22,'standardized values'!$AD$22)</f>
        <v>-0.19380627744794346</v>
      </c>
      <c r="M13">
        <f>STANDARDIZE(Dataset!AN13,'standardized values'!$AB$23,'standardized values'!$AD$23)</f>
        <v>-0.47649515507519735</v>
      </c>
      <c r="N13">
        <f>STANDARDIZE(Dataset!AO13,'standardized values'!$AB$24,'standardized values'!$AD$24)</f>
        <v>-0.2411919549683007</v>
      </c>
      <c r="O13">
        <f>STANDARDIZE(Dataset!AP13,'standardized values'!$AB$27,'standardized values'!$AD$27)</f>
        <v>0.71017925804554694</v>
      </c>
      <c r="P13">
        <f>STANDARDIZE(Dataset!AQ13,'standardized values'!$AB$28,'standardized values'!$AD$28)</f>
        <v>-9.7939024202526023E-2</v>
      </c>
      <c r="Q13">
        <f>STANDARDIZE(Dataset!AD13,'standardized values'!$AB$15,'standardized values'!$AD$15)</f>
        <v>-0.66734060001965378</v>
      </c>
      <c r="R13">
        <f>STANDARDIZE(Dataset!AE13,'standardized values'!$AB$16,'standardized values'!$AD$16)</f>
        <v>-0.8216365691774653</v>
      </c>
      <c r="S13">
        <f>STANDARDIZE(Dataset!AF13,'standardized values'!$AB$17,'standardized values'!$AD$17)</f>
        <v>-5.6887473009506889E-2</v>
      </c>
      <c r="T13">
        <f>STANDARDIZE(Dataset!AG13,'standardized values'!$AB$18,'standardized values'!$AD$18)</f>
        <v>0.22460442221965149</v>
      </c>
      <c r="U13">
        <f>STANDARDIZE(Dataset!AH13,'standardized values'!$AB$19,'standardized values'!$AD$19)</f>
        <v>-2.6743397004956315E-2</v>
      </c>
      <c r="V13">
        <f>STANDARDIZE(Dataset!AR13,AVERAGE(Dataset!$AR$2:$AR$51),STDEV(Dataset!$AR$2:$AR$51))</f>
        <v>0.73023773541461434</v>
      </c>
      <c r="W13">
        <f>STANDARDIZE(Dataset!AS13,AVERAGE(Dataset!$AS$2:$AS$51),STDEV(Dataset!$AS$2:$AS$51))</f>
        <v>0.57609332491772325</v>
      </c>
      <c r="X13">
        <f>STANDARDIZE(Dataset!AT13,AVERAGE(Dataset!$AT$2:$AT$51),STDEV(Dataset!$AT$2:$AT$51))</f>
        <v>0.72425171860180115</v>
      </c>
      <c r="Y13"/>
      <c r="Z13" t="s">
        <v>50</v>
      </c>
      <c r="AA13" s="66">
        <v>50</v>
      </c>
      <c r="AB13" s="19">
        <f>AVERAGE(Dataset!$AB$2:$AB$51)</f>
        <v>149.98198750934785</v>
      </c>
      <c r="AC13" s="19">
        <f>MEDIAN(Dataset!$AB$2:$AB$51)</f>
        <v>210.33802230669548</v>
      </c>
      <c r="AD13" s="19">
        <f>STDEV(Dataset!$AB$2:$AB$51)</f>
        <v>956.74261518594858</v>
      </c>
      <c r="AE13" s="19">
        <f>MAX(Dataset!$AB$2:$AB$51)</f>
        <v>2810.2053935030162</v>
      </c>
      <c r="AF13" s="19">
        <f>MIN(Dataset!$AB$2:$AB$51)</f>
        <v>-5733.8222430448168</v>
      </c>
      <c r="AH13" s="8" t="s">
        <v>65</v>
      </c>
      <c r="AI13" s="31">
        <f t="shared" si="0"/>
        <v>2.0305827789341384</v>
      </c>
      <c r="AJ13" s="31">
        <f t="shared" si="1"/>
        <v>2.8188620095115917</v>
      </c>
      <c r="AK13" s="31">
        <f t="shared" si="2"/>
        <v>1.146609279458521</v>
      </c>
      <c r="AL13" s="31">
        <f t="shared" si="3"/>
        <v>-0.91149338749144149</v>
      </c>
      <c r="AM13" s="31">
        <f t="shared" si="4"/>
        <v>0.61224023384302095</v>
      </c>
      <c r="AN13" s="31">
        <f t="shared" si="5"/>
        <v>1.3639781060237477</v>
      </c>
      <c r="AO13" s="31"/>
    </row>
    <row r="14" spans="1:41" s="8" customFormat="1" ht="15.75" customHeight="1" x14ac:dyDescent="0.25">
      <c r="A14" s="8" t="s">
        <v>66</v>
      </c>
      <c r="B14" s="8" t="s">
        <v>67</v>
      </c>
      <c r="C14" s="8">
        <v>2015</v>
      </c>
      <c r="D14">
        <f>STANDARDIZE(Dataset!X14,'standardized values'!$AB$9,'standardized values'!$AD$9)</f>
        <v>-0.59678305570308521</v>
      </c>
      <c r="E14">
        <f>STANDARDIZE(Dataset!Y14,'standardized values'!$AB$10,'standardized values'!$AD$10)</f>
        <v>-0.70991493225395486</v>
      </c>
      <c r="F14">
        <f>STANDARDIZE(Dataset!Z14,'standardized values'!$AB$11,'standardized values'!$AD$11)</f>
        <v>-0.67775383021460833</v>
      </c>
      <c r="G14">
        <f>STANDARDIZE(Dataset!AA14,'standardized values'!$AB$12,'standardized values'!$AD$12)</f>
        <v>-1.0697686143676868</v>
      </c>
      <c r="H14">
        <f>STANDARDIZE(Dataset!AB14,'standardized values'!$AB$13,'standardized values'!$AD$13)</f>
        <v>-0.18566703621354594</v>
      </c>
      <c r="I14">
        <f>STANDARDIZE(Dataset!AC14,'standardized values'!$AB$14,'standardized values'!$AD$14)</f>
        <v>-3.5562426710371251</v>
      </c>
      <c r="J14">
        <f>STANDARDIZE(Dataset!AK14,'standardized values'!$AB$20,'standardized values'!$AD$20)</f>
        <v>-0.91354661570712714</v>
      </c>
      <c r="K14">
        <f>STANDARDIZE(Dataset!AL14,'standardized values'!$AB$21,'standardized values'!$AD$21)</f>
        <v>-0.80943545888333468</v>
      </c>
      <c r="L14">
        <f>STANDARDIZE(Dataset!AM14,'standardized values'!$AB$22,'standardized values'!$AD$22)</f>
        <v>-0.26177109302289214</v>
      </c>
      <c r="M14">
        <f>STANDARDIZE(Dataset!AN14,'standardized values'!$AB$23,'standardized values'!$AD$23)</f>
        <v>0.55772183294647693</v>
      </c>
      <c r="N14">
        <f>STANDARDIZE(Dataset!AO14,'standardized values'!$AB$24,'standardized values'!$AD$24)</f>
        <v>0.17149467161664797</v>
      </c>
      <c r="O14">
        <f>STANDARDIZE(Dataset!AP14,'standardized values'!$AB$27,'standardized values'!$AD$27)</f>
        <v>-1.2474731636969716</v>
      </c>
      <c r="P14">
        <f>STANDARDIZE(Dataset!AQ14,'standardized values'!$AB$28,'standardized values'!$AD$28)</f>
        <v>-0.20507247481031593</v>
      </c>
      <c r="Q14">
        <f>STANDARDIZE(Dataset!AD14,'standardized values'!$AB$15,'standardized values'!$AD$15)</f>
        <v>3.5022826645982938</v>
      </c>
      <c r="R14">
        <f>STANDARDIZE(Dataset!AE14,'standardized values'!$AB$16,'standardized values'!$AD$16)</f>
        <v>2.0417577866318344</v>
      </c>
      <c r="S14">
        <f>STANDARDIZE(Dataset!AF14,'standardized values'!$AB$17,'standardized values'!$AD$17)</f>
        <v>6.9678554882490487E-2</v>
      </c>
      <c r="T14">
        <f>STANDARDIZE(Dataset!AG14,'standardized values'!$AB$18,'standardized values'!$AD$18)</f>
        <v>-0.61949483436448705</v>
      </c>
      <c r="U14">
        <f>STANDARDIZE(Dataset!AH14,'standardized values'!$AB$19,'standardized values'!$AD$19)</f>
        <v>-0.33400508972182985</v>
      </c>
      <c r="V14">
        <f>STANDARDIZE(Dataset!AR14,AVERAGE(Dataset!$AR$2:$AR$51),STDEV(Dataset!$AR$2:$AR$51))</f>
        <v>-0.92368298355358258</v>
      </c>
      <c r="W14">
        <f>STANDARDIZE(Dataset!AS14,AVERAGE(Dataset!$AS$2:$AS$51),STDEV(Dataset!$AS$2:$AS$51))</f>
        <v>-0.95412853658123353</v>
      </c>
      <c r="X14">
        <f>STANDARDIZE(Dataset!AT14,AVERAGE(Dataset!$AT$2:$AT$51),STDEV(Dataset!$AT$2:$AT$51))</f>
        <v>-0.92835338645273713</v>
      </c>
      <c r="Y14"/>
      <c r="Z14" s="8" t="s">
        <v>53</v>
      </c>
      <c r="AA14" s="67">
        <v>50</v>
      </c>
      <c r="AB14" s="19">
        <f>AVERAGE(Dataset!$AC$2:$AC$51)</f>
        <v>-0.17340587110559055</v>
      </c>
      <c r="AC14" s="19">
        <f>MEDIAN(Dataset!$AC$2:$AC$51)</f>
        <v>-1.5072679784011833E-2</v>
      </c>
      <c r="AD14" s="19">
        <f>STDEV(Dataset!$AC$2:$AC$51)</f>
        <v>0.72988232579711632</v>
      </c>
      <c r="AE14" s="19">
        <f>MAX(Dataset!$AC$2:$AC$51)</f>
        <v>0.77829012176775814</v>
      </c>
      <c r="AF14" s="19">
        <f>MIN(Dataset!$AC$2:$AC$51)</f>
        <v>-2.9165905585202982</v>
      </c>
      <c r="AH14" s="8" t="s">
        <v>67</v>
      </c>
      <c r="AI14" s="31">
        <f t="shared" si="0"/>
        <v>-2.8061649065875534</v>
      </c>
      <c r="AJ14" s="31">
        <f t="shared" si="1"/>
        <v>-5.2792247456275865</v>
      </c>
      <c r="AK14" s="31">
        <f t="shared" si="2"/>
        <v>-1.2554356505812327</v>
      </c>
      <c r="AL14" s="31">
        <f t="shared" si="3"/>
        <v>0.46744541154023278</v>
      </c>
      <c r="AM14" s="31">
        <f t="shared" si="4"/>
        <v>-1.4525456385072875</v>
      </c>
      <c r="AN14" s="31">
        <f t="shared" si="5"/>
        <v>-2.0479926922685392</v>
      </c>
      <c r="AO14" s="31"/>
    </row>
    <row r="15" spans="1:41" s="8" customFormat="1" ht="15.75" customHeight="1" x14ac:dyDescent="0.25">
      <c r="A15" s="8" t="s">
        <v>69</v>
      </c>
      <c r="B15" s="8" t="s">
        <v>70</v>
      </c>
      <c r="C15" s="8">
        <v>2015</v>
      </c>
      <c r="D15">
        <f>STANDARDIZE(Dataset!X15,'standardized values'!$AB$9,'standardized values'!$AD$9)</f>
        <v>-0.25446809837092221</v>
      </c>
      <c r="E15">
        <f>STANDARDIZE(Dataset!Y15,'standardized values'!$AB$10,'standardized values'!$AD$10)</f>
        <v>-0.29339456252014762</v>
      </c>
      <c r="F15">
        <f>STANDARDIZE(Dataset!Z15,'standardized values'!$AB$11,'standardized values'!$AD$11)</f>
        <v>-0.22798930563974415</v>
      </c>
      <c r="G15">
        <f>STANDARDIZE(Dataset!AA15,'standardized values'!$AB$12,'standardized values'!$AD$12)</f>
        <v>0.37822030991417971</v>
      </c>
      <c r="H15">
        <f>STANDARDIZE(Dataset!AB15,'standardized values'!$AB$13,'standardized values'!$AD$13)</f>
        <v>0.14124999512794037</v>
      </c>
      <c r="I15">
        <f>STANDARDIZE(Dataset!AC15,'standardized values'!$AB$14,'standardized values'!$AD$14)</f>
        <v>8.5591925854762468E-2</v>
      </c>
      <c r="J15">
        <f>STANDARDIZE(Dataset!AK15,'standardized values'!$AB$20,'standardized values'!$AD$20)</f>
        <v>-0.43131624794355339</v>
      </c>
      <c r="K15">
        <f>STANDARDIZE(Dataset!AL15,'standardized values'!$AB$21,'standardized values'!$AD$21)</f>
        <v>9.4639984363238658E-2</v>
      </c>
      <c r="L15">
        <f>STANDARDIZE(Dataset!AM15,'standardized values'!$AB$22,'standardized values'!$AD$22)</f>
        <v>-0.23239770673100865</v>
      </c>
      <c r="M15">
        <f>STANDARDIZE(Dataset!AN15,'standardized values'!$AB$23,'standardized values'!$AD$23)</f>
        <v>0.3682021221936731</v>
      </c>
      <c r="N15">
        <f>STANDARDIZE(Dataset!AO15,'standardized values'!$AB$24,'standardized values'!$AD$24)</f>
        <v>0.47801216281930076</v>
      </c>
      <c r="O15">
        <f>STANDARDIZE(Dataset!AP15,'standardized values'!$AB$27,'standardized values'!$AD$27)</f>
        <v>1.6557600560605634</v>
      </c>
      <c r="P15">
        <f>STANDARDIZE(Dataset!AQ15,'standardized values'!$AB$28,'standardized values'!$AD$28)</f>
        <v>-3.5017818163978379E-2</v>
      </c>
      <c r="Q15">
        <f>STANDARDIZE(Dataset!AD15,'standardized values'!$AB$15,'standardized values'!$AD$15)</f>
        <v>-0.18837367386685774</v>
      </c>
      <c r="R15">
        <f>STANDARDIZE(Dataset!AE15,'standardized values'!$AB$16,'standardized values'!$AD$16)</f>
        <v>-0.59885445428485584</v>
      </c>
      <c r="S15">
        <f>STANDARDIZE(Dataset!AF15,'standardized values'!$AB$17,'standardized values'!$AD$17)</f>
        <v>1.3716562281815307E-2</v>
      </c>
      <c r="T15">
        <f>STANDARDIZE(Dataset!AG15,'standardized values'!$AB$18,'standardized values'!$AD$18)</f>
        <v>-0.49251959307103366</v>
      </c>
      <c r="U15">
        <f>STANDARDIZE(Dataset!AH15,'standardized values'!$AB$19,'standardized values'!$AD$19)</f>
        <v>-0.52709075272508499</v>
      </c>
      <c r="V15">
        <f>STANDARDIZE(Dataset!AR15,AVERAGE(Dataset!$AR$2:$AR$51),STDEV(Dataset!$AR$2:$AR$51))</f>
        <v>-0.30756128870241212</v>
      </c>
      <c r="W15">
        <f>STANDARDIZE(Dataset!AS15,AVERAGE(Dataset!$AS$2:$AS$51),STDEV(Dataset!$AS$2:$AS$51))</f>
        <v>-0.33658869983802236</v>
      </c>
      <c r="X15">
        <f>STANDARDIZE(Dataset!AT15,AVERAGE(Dataset!$AT$2:$AT$51),STDEV(Dataset!$AT$2:$AT$51))</f>
        <v>-0.24038967674460662</v>
      </c>
      <c r="Y15"/>
      <c r="Z15" s="20" t="s">
        <v>56</v>
      </c>
      <c r="AA15" s="66">
        <v>50</v>
      </c>
      <c r="AB15" s="21">
        <f>AVERAGE(Dataset!$AD$2:$AD$51)</f>
        <v>0.61130302399654635</v>
      </c>
      <c r="AC15" s="21">
        <f>MEDIAN(Dataset!$AD$2:$AD$51)</f>
        <v>0.37541059005208821</v>
      </c>
      <c r="AD15" s="21">
        <f>STDEV(Dataset!$AD$2:$AD$51)</f>
        <v>0.73043248171478226</v>
      </c>
      <c r="AE15" s="21">
        <f>MAX(Dataset!$AD$2:$AD$51)</f>
        <v>3.5955480853476542</v>
      </c>
      <c r="AF15" s="21">
        <f>MIN(Dataset!$AD$2:$AD$51)</f>
        <v>4.7804089817799773E-2</v>
      </c>
      <c r="AH15" s="8" t="s">
        <v>70</v>
      </c>
      <c r="AI15" s="31">
        <f t="shared" si="0"/>
        <v>-0.88453966528504113</v>
      </c>
      <c r="AJ15" s="31">
        <f t="shared" si="1"/>
        <v>-0.25108433772555222</v>
      </c>
      <c r="AK15" s="31">
        <f t="shared" si="2"/>
        <v>0.51947030504212011</v>
      </c>
      <c r="AL15" s="31">
        <f t="shared" si="3"/>
        <v>0.61381657828196523</v>
      </c>
      <c r="AM15" s="31">
        <f t="shared" si="4"/>
        <v>1.620742237896585</v>
      </c>
      <c r="AN15" s="31">
        <f t="shared" si="5"/>
        <v>7.057317176027747E-2</v>
      </c>
      <c r="AO15" s="31"/>
    </row>
    <row r="16" spans="1:41" ht="15.75" customHeight="1" x14ac:dyDescent="0.25">
      <c r="A16" t="s">
        <v>72</v>
      </c>
      <c r="B16" s="8" t="s">
        <v>73</v>
      </c>
      <c r="C16" s="8">
        <v>2015</v>
      </c>
      <c r="D16">
        <f>STANDARDIZE(Dataset!X16,'standardized values'!$AB$9,'standardized values'!$AD$9)</f>
        <v>-0.35010691765956437</v>
      </c>
      <c r="E16">
        <f>STANDARDIZE(Dataset!Y16,'standardized values'!$AB$10,'standardized values'!$AD$10)</f>
        <v>-0.34863818678472797</v>
      </c>
      <c r="F16">
        <f>STANDARDIZE(Dataset!Z16,'standardized values'!$AB$11,'standardized values'!$AD$11)</f>
        <v>-0.39209323631703785</v>
      </c>
      <c r="G16">
        <f>STANDARDIZE(Dataset!AA16,'standardized values'!$AB$12,'standardized values'!$AD$12)</f>
        <v>-0.10275667983523697</v>
      </c>
      <c r="H16">
        <f>STANDARDIZE(Dataset!AB16,'standardized values'!$AB$13,'standardized values'!$AD$13)</f>
        <v>3.0081317991796246E-2</v>
      </c>
      <c r="I16">
        <f>STANDARDIZE(Dataset!AC16,'standardized values'!$AB$14,'standardized values'!$AD$14)</f>
        <v>0.46633327751939807</v>
      </c>
      <c r="J16">
        <f>STANDARDIZE(Dataset!AK16,'standardized values'!$AB$20,'standardized values'!$AD$20)</f>
        <v>0.26818081952823686</v>
      </c>
      <c r="K16">
        <f>STANDARDIZE(Dataset!AL16,'standardized values'!$AB$21,'standardized values'!$AD$21)</f>
        <v>0.35137022756215031</v>
      </c>
      <c r="L16">
        <f>STANDARDIZE(Dataset!AM16,'standardized values'!$AB$22,'standardized values'!$AD$22)</f>
        <v>-1.5748660112618534E-2</v>
      </c>
      <c r="M16">
        <f>STANDARDIZE(Dataset!AN16,'standardized values'!$AB$23,'standardized values'!$AD$23)</f>
        <v>-0.6555008363489232</v>
      </c>
      <c r="N16">
        <f>STANDARDIZE(Dataset!AO16,'standardized values'!$AB$24,'standardized values'!$AD$24)</f>
        <v>-0.6597910140061839</v>
      </c>
      <c r="O16">
        <f>STANDARDIZE(Dataset!AP16,'standardized values'!$AB$27,'standardized values'!$AD$27)</f>
        <v>-9.0366368911363806E-3</v>
      </c>
      <c r="P16">
        <f>STANDARDIZE(Dataset!AQ16,'standardized values'!$AB$28,'standardized values'!$AD$28)</f>
        <v>-0.16499128851068298</v>
      </c>
      <c r="Q16">
        <f>STANDARDIZE(Dataset!AD16,'standardized values'!$AB$15,'standardized values'!$AD$15)</f>
        <v>-0.54657206764219424</v>
      </c>
      <c r="R16">
        <f>STANDARDIZE(Dataset!AE16,'standardized values'!$AB$16,'standardized values'!$AD$16)</f>
        <v>-0.69736388571148067</v>
      </c>
      <c r="S16">
        <f>STANDARDIZE(Dataset!AF16,'standardized values'!$AB$17,'standardized values'!$AD$17)</f>
        <v>-0.34529322801247853</v>
      </c>
      <c r="T16">
        <f>STANDARDIZE(Dataset!AG16,'standardized values'!$AB$18,'standardized values'!$AD$18)</f>
        <v>0.41870991204627467</v>
      </c>
      <c r="U16">
        <f>STANDARDIZE(Dataset!AH16,'standardized values'!$AB$19,'standardized values'!$AD$19)</f>
        <v>0.35822104243607827</v>
      </c>
      <c r="V16">
        <f>STANDARDIZE(Dataset!AR16,AVERAGE(Dataset!$AR$2:$AR$51),STDEV(Dataset!$AR$2:$AR$51))</f>
        <v>-0.47969852714772315</v>
      </c>
      <c r="W16">
        <f>STANDARDIZE(Dataset!AS16,AVERAGE(Dataset!$AS$2:$AS$51),STDEV(Dataset!$AS$2:$AS$51))</f>
        <v>-0.41849379065328018</v>
      </c>
      <c r="X16">
        <f>STANDARDIZE(Dataset!AT16,AVERAGE(Dataset!$AT$2:$AT$51),STDEV(Dataset!$AT$2:$AT$51))</f>
        <v>-0.49140446950344469</v>
      </c>
      <c r="Z16" s="9" t="s">
        <v>59</v>
      </c>
      <c r="AA16" s="66">
        <v>50</v>
      </c>
      <c r="AB16" s="22">
        <f>AVERAGE(Dataset!$AE$2:$AE$51)</f>
        <v>4271.9039025430557</v>
      </c>
      <c r="AC16" s="22">
        <f>MEDIAN(Dataset!$AE$2:$AE$51)</f>
        <v>2785.6108892140201</v>
      </c>
      <c r="AD16" s="22">
        <f>STDEV(Dataset!$AE$2:$AE$51)</f>
        <v>3842.9234571803759</v>
      </c>
      <c r="AE16" s="22">
        <f>MAX(Dataset!$AE$2:$AE$51)</f>
        <v>16820.869000582301</v>
      </c>
      <c r="AF16" s="22">
        <f>MIN(Dataset!$AE$2:$AE$51)</f>
        <v>378.61015184903368</v>
      </c>
      <c r="AG16" s="8"/>
      <c r="AH16" s="8" t="s">
        <v>73</v>
      </c>
      <c r="AI16" s="31">
        <f t="shared" si="0"/>
        <v>-1.3895967873044481</v>
      </c>
      <c r="AJ16" s="31">
        <f t="shared" si="1"/>
        <v>1.0858843246097853</v>
      </c>
      <c r="AK16" s="31">
        <f t="shared" si="2"/>
        <v>-7.2675361843440728E-2</v>
      </c>
      <c r="AL16" s="31">
        <f t="shared" si="3"/>
        <v>-1.3310405104677256</v>
      </c>
      <c r="AM16" s="31">
        <f t="shared" si="4"/>
        <v>-0.17402792540181936</v>
      </c>
      <c r="AN16" s="31">
        <f t="shared" si="5"/>
        <v>-0.55371366332773708</v>
      </c>
      <c r="AO16" s="31"/>
    </row>
    <row r="17" spans="1:41" ht="15.75" customHeight="1" x14ac:dyDescent="0.25">
      <c r="A17" t="s">
        <v>74</v>
      </c>
      <c r="B17" s="8" t="s">
        <v>75</v>
      </c>
      <c r="C17" s="8">
        <v>2015</v>
      </c>
      <c r="D17">
        <f>STANDARDIZE(Dataset!X17,'standardized values'!$AB$9,'standardized values'!$AD$9)</f>
        <v>-0.40423697811774967</v>
      </c>
      <c r="E17">
        <f>STANDARDIZE(Dataset!Y17,'standardized values'!$AB$10,'standardized values'!$AD$10)</f>
        <v>-0.35285831719599675</v>
      </c>
      <c r="F17">
        <f>STANDARDIZE(Dataset!Z17,'standardized values'!$AB$11,'standardized values'!$AD$11)</f>
        <v>-0.41505696884338378</v>
      </c>
      <c r="G17">
        <f>STANDARDIZE(Dataset!AA17,'standardized values'!$AB$12,'standardized values'!$AD$12)</f>
        <v>-0.68208393538753909</v>
      </c>
      <c r="H17">
        <f>STANDARDIZE(Dataset!AB17,'standardized values'!$AB$13,'standardized values'!$AD$13)</f>
        <v>-0.23590898257680293</v>
      </c>
      <c r="I17">
        <f>STANDARDIZE(Dataset!AC17,'standardized values'!$AB$14,'standardized values'!$AD$14)</f>
        <v>0.24414655236459271</v>
      </c>
      <c r="J17">
        <f>STANDARDIZE(Dataset!AK17,'standardized values'!$AB$20,'standardized values'!$AD$20)</f>
        <v>-0.23806416225155416</v>
      </c>
      <c r="K17">
        <f>STANDARDIZE(Dataset!AL17,'standardized values'!$AB$21,'standardized values'!$AD$21)</f>
        <v>1.4976305220571855E-2</v>
      </c>
      <c r="L17">
        <f>STANDARDIZE(Dataset!AM17,'standardized values'!$AB$22,'standardized values'!$AD$22)</f>
        <v>-9.940916986863442E-2</v>
      </c>
      <c r="M17">
        <f>STANDARDIZE(Dataset!AN17,'standardized values'!$AB$23,'standardized values'!$AD$23)</f>
        <v>1.0473175194770583</v>
      </c>
      <c r="N17">
        <f>STANDARDIZE(Dataset!AO17,'standardized values'!$AB$24,'standardized values'!$AD$24)</f>
        <v>0.75277224477829763</v>
      </c>
      <c r="O17">
        <f>STANDARDIZE(Dataset!AP17,'standardized values'!$AB$27,'standardized values'!$AD$27)</f>
        <v>0.20626965073379919</v>
      </c>
      <c r="P17">
        <f>STANDARDIZE(Dataset!AQ17,'standardized values'!$AB$28,'standardized values'!$AD$28)</f>
        <v>-8.8655959373933585E-2</v>
      </c>
      <c r="Q17">
        <f>STANDARDIZE(Dataset!AD17,'standardized values'!$AB$15,'standardized values'!$AD$15)</f>
        <v>-0.3532337647403615</v>
      </c>
      <c r="R17">
        <f>STANDARDIZE(Dataset!AE17,'standardized values'!$AB$16,'standardized values'!$AD$16)</f>
        <v>-0.55800383074596682</v>
      </c>
      <c r="S17">
        <f>STANDARDIZE(Dataset!AF17,'standardized values'!$AB$17,'standardized values'!$AD$17)</f>
        <v>-0.21686973106483318</v>
      </c>
      <c r="T17">
        <f>STANDARDIZE(Dataset!AG17,'standardized values'!$AB$18,'standardized values'!$AD$18)</f>
        <v>-0.90622606579799014</v>
      </c>
      <c r="U17">
        <f>STANDARDIZE(Dataset!AH17,'standardized values'!$AB$19,'standardized values'!$AD$19)</f>
        <v>-0.67983448323457907</v>
      </c>
      <c r="V17">
        <f>STANDARDIZE(Dataset!AR17,AVERAGE(Dataset!$AR$2:$AR$51),STDEV(Dataset!$AR$2:$AR$51))</f>
        <v>-0.57712548404090913</v>
      </c>
      <c r="W17">
        <f>STANDARDIZE(Dataset!AS17,AVERAGE(Dataset!$AS$2:$AS$51),STDEV(Dataset!$AS$2:$AS$51))</f>
        <v>-0.42475062425514104</v>
      </c>
      <c r="X17">
        <f>STANDARDIZE(Dataset!AT17,AVERAGE(Dataset!$AT$2:$AT$51),STDEV(Dataset!$AT$2:$AT$51))</f>
        <v>-0.52652999353738961</v>
      </c>
      <c r="Z17" s="50" t="s">
        <v>182</v>
      </c>
      <c r="AA17" s="66">
        <v>50</v>
      </c>
      <c r="AB17" s="22">
        <f>AVERAGE(Dataset!$AF$2:$AF$51)</f>
        <v>5.8991215684195256E-2</v>
      </c>
      <c r="AC17" s="22">
        <f>MEDIAN(Dataset!$AF$2:$AF$51)</f>
        <v>5.752766494376723E-2</v>
      </c>
      <c r="AD17" s="22">
        <f>STDEV(Dataset!$AF$2:$AF$51)</f>
        <v>1.8925242372715104E-2</v>
      </c>
      <c r="AE17" s="22">
        <f>MAX(Dataset!$AF$2:$AF$51)</f>
        <v>0.13032153757469478</v>
      </c>
      <c r="AF17" s="22">
        <f>MIN(Dataset!$AF$2:$AF$51)</f>
        <v>1.2425734477296373E-2</v>
      </c>
      <c r="AG17" s="8"/>
      <c r="AH17" s="30" t="s">
        <v>75</v>
      </c>
      <c r="AI17" s="31">
        <f t="shared" si="0"/>
        <v>-1.5284061018334398</v>
      </c>
      <c r="AJ17" s="31">
        <f t="shared" si="1"/>
        <v>2.1058695333610399E-2</v>
      </c>
      <c r="AK17" s="31">
        <f t="shared" si="2"/>
        <v>-0.91799291796434201</v>
      </c>
      <c r="AL17" s="31">
        <f t="shared" si="3"/>
        <v>1.7006805943867214</v>
      </c>
      <c r="AM17" s="31">
        <f t="shared" si="4"/>
        <v>0.1176136913598656</v>
      </c>
      <c r="AN17" s="31">
        <f t="shared" si="5"/>
        <v>-0.67230435882120387</v>
      </c>
      <c r="AO17" s="31"/>
    </row>
    <row r="18" spans="1:41" ht="15.75" customHeight="1" x14ac:dyDescent="0.25">
      <c r="A18" t="s">
        <v>76</v>
      </c>
      <c r="B18" s="8" t="s">
        <v>77</v>
      </c>
      <c r="C18" s="8">
        <v>2015</v>
      </c>
      <c r="D18">
        <f>STANDARDIZE(Dataset!X18,'standardized values'!$AB$9,'standardized values'!$AD$9)</f>
        <v>-0.50976788000485729</v>
      </c>
      <c r="E18">
        <f>STANDARDIZE(Dataset!Y18,'standardized values'!$AB$10,'standardized values'!$AD$10)</f>
        <v>-0.50076290637712073</v>
      </c>
      <c r="F18">
        <f>STANDARDIZE(Dataset!Z18,'standardized values'!$AB$11,'standardized values'!$AD$11)</f>
        <v>-0.44485316571855998</v>
      </c>
      <c r="G18">
        <f>STANDARDIZE(Dataset!AA18,'standardized values'!$AB$12,'standardized values'!$AD$12)</f>
        <v>-0.18466273293471641</v>
      </c>
      <c r="H18">
        <f>STANDARDIZE(Dataset!AB18,'standardized values'!$AB$13,'standardized values'!$AD$13)</f>
        <v>-2.9116354481498817E-2</v>
      </c>
      <c r="I18">
        <f>STANDARDIZE(Dataset!AC18,'standardized values'!$AB$14,'standardized values'!$AD$14)</f>
        <v>-1.3487705307960125</v>
      </c>
      <c r="J18">
        <f>STANDARDIZE(Dataset!AK18,'standardized values'!$AB$20,'standardized values'!$AD$20)</f>
        <v>-0.79641563745673216</v>
      </c>
      <c r="K18">
        <f>STANDARDIZE(Dataset!AL18,'standardized values'!$AB$21,'standardized values'!$AD$21)</f>
        <v>-0.75496914900153045</v>
      </c>
      <c r="L18">
        <f>STANDARDIZE(Dataset!AM18,'standardized values'!$AB$22,'standardized values'!$AD$22)</f>
        <v>-0.40264471828770093</v>
      </c>
      <c r="M18">
        <f>STANDARDIZE(Dataset!AN18,'standardized values'!$AB$23,'standardized values'!$AD$23)</f>
        <v>-0.68807760513680405</v>
      </c>
      <c r="N18">
        <f>STANDARDIZE(Dataset!AO18,'standardized values'!$AB$24,'standardized values'!$AD$24)</f>
        <v>-0.7118345417974995</v>
      </c>
      <c r="O18">
        <f>STANDARDIZE(Dataset!AP18,'standardized values'!$AB$27,'standardized values'!$AD$27)</f>
        <v>-1.2111548887008063</v>
      </c>
      <c r="P18">
        <f>STANDARDIZE(Dataset!AQ18,'standardized values'!$AB$28,'standardized values'!$AD$28)</f>
        <v>-0.2018488402603244</v>
      </c>
      <c r="Q18">
        <f>STANDARDIZE(Dataset!AD18,'standardized values'!$AB$15,'standardized values'!$AD$15)</f>
        <v>0.98455379146749855</v>
      </c>
      <c r="R18">
        <f>STANDARDIZE(Dataset!AE18,'standardized values'!$AB$16,'standardized values'!$AD$16)</f>
        <v>1.295090468644714</v>
      </c>
      <c r="S18">
        <f>STANDARDIZE(Dataset!AF18,'standardized values'!$AB$17,'standardized values'!$AD$17)</f>
        <v>0.36848306513092044</v>
      </c>
      <c r="T18">
        <f>STANDARDIZE(Dataset!AG18,'standardized values'!$AB$18,'standardized values'!$AD$18)</f>
        <v>0.4560769282203202</v>
      </c>
      <c r="U18">
        <f>STANDARDIZE(Dataset!AH18,'standardized values'!$AB$19,'standardized values'!$AD$19)</f>
        <v>0.41255120960896818</v>
      </c>
      <c r="V18">
        <f>STANDARDIZE(Dataset!AR18,AVERAGE(Dataset!$AR$2:$AR$51),STDEV(Dataset!$AR$2:$AR$51))</f>
        <v>-0.76706716417253629</v>
      </c>
      <c r="W18">
        <f>STANDARDIZE(Dataset!AS18,AVERAGE(Dataset!$AS$2:$AS$51),STDEV(Dataset!$AS$2:$AS$51))</f>
        <v>-0.64403636030414935</v>
      </c>
      <c r="X18">
        <f>STANDARDIZE(Dataset!AT18,AVERAGE(Dataset!$AT$2:$AT$51),STDEV(Dataset!$AT$2:$AT$51))</f>
        <v>-0.57210651417742053</v>
      </c>
      <c r="Z18" s="50" t="s">
        <v>183</v>
      </c>
      <c r="AA18" s="66">
        <v>50</v>
      </c>
      <c r="AB18" s="22">
        <f>AVERAGE(Dataset!$AG$2:$AG$51)</f>
        <v>0.13435517805714908</v>
      </c>
      <c r="AC18" s="22">
        <f>MEDIAN(Dataset!$AG$2:$AG$51)</f>
        <v>0.12712281322731869</v>
      </c>
      <c r="AD18" s="22">
        <f>STDEV(Dataset!$AG$2:$AG$51)</f>
        <v>3.5551941223730205E-2</v>
      </c>
      <c r="AE18" s="22">
        <f>MAX(Dataset!$AG$2:$AG$51)</f>
        <v>0.24445663361420517</v>
      </c>
      <c r="AF18" s="22">
        <f>MIN(Dataset!$AG$2:$AG$51)</f>
        <v>8.4266776076411684E-2</v>
      </c>
      <c r="AG18" s="8"/>
      <c r="AH18" s="8" t="s">
        <v>77</v>
      </c>
      <c r="AI18" s="31">
        <f t="shared" si="0"/>
        <v>-1.9832100386541063</v>
      </c>
      <c r="AJ18" s="31">
        <f t="shared" si="1"/>
        <v>-2.9001553172542751</v>
      </c>
      <c r="AK18" s="31">
        <f t="shared" si="2"/>
        <v>-0.21377908741621524</v>
      </c>
      <c r="AL18" s="31">
        <f t="shared" si="3"/>
        <v>-1.8025568652220043</v>
      </c>
      <c r="AM18" s="31">
        <f t="shared" si="4"/>
        <v>-1.4130037289611308</v>
      </c>
      <c r="AN18" s="31">
        <f t="shared" si="5"/>
        <v>-1.3805177852683537</v>
      </c>
      <c r="AO18" s="31"/>
    </row>
    <row r="19" spans="1:41" s="8" customFormat="1" ht="15.75" customHeight="1" x14ac:dyDescent="0.25">
      <c r="A19" s="8" t="s">
        <v>78</v>
      </c>
      <c r="B19" s="8" t="s">
        <v>79</v>
      </c>
      <c r="C19" s="8">
        <v>2015</v>
      </c>
      <c r="D19">
        <f>STANDARDIZE(Dataset!X19,'standardized values'!$AB$9,'standardized values'!$AD$9)</f>
        <v>-0.29201331795906144</v>
      </c>
      <c r="E19">
        <f>STANDARDIZE(Dataset!Y19,'standardized values'!$AB$10,'standardized values'!$AD$10)</f>
        <v>-0.38759649309109656</v>
      </c>
      <c r="F19">
        <f>STANDARDIZE(Dataset!Z19,'standardized values'!$AB$11,'standardized values'!$AD$11)</f>
        <v>-0.29372099955746106</v>
      </c>
      <c r="G19">
        <f>STANDARDIZE(Dataset!AA19,'standardized values'!$AB$12,'standardized values'!$AD$12)</f>
        <v>-1.2490653716135602</v>
      </c>
      <c r="H19">
        <f>STANDARDIZE(Dataset!AB19,'standardized values'!$AB$13,'standardized values'!$AD$13)</f>
        <v>-0.15710892846913513</v>
      </c>
      <c r="I19">
        <f>STANDARDIZE(Dataset!AC19,'standardized values'!$AB$14,'standardized values'!$AD$14)</f>
        <v>-3.3530602409395587E-2</v>
      </c>
      <c r="J19">
        <f>STANDARDIZE(Dataset!AK19,'standardized values'!$AB$20,'standardized values'!$AD$20)</f>
        <v>-0.58530641057853849</v>
      </c>
      <c r="K19">
        <f>STANDARDIZE(Dataset!AL19,'standardized values'!$AB$21,'standardized values'!$AD$21)</f>
        <v>-0.47806188901526303</v>
      </c>
      <c r="L19">
        <f>STANDARDIZE(Dataset!AM19,'standardized values'!$AB$22,'standardized values'!$AD$22)</f>
        <v>0.47348538239476279</v>
      </c>
      <c r="M19">
        <f>STANDARDIZE(Dataset!AN19,'standardized values'!$AB$23,'standardized values'!$AD$23)</f>
        <v>0.10814096542626862</v>
      </c>
      <c r="N19">
        <f>STANDARDIZE(Dataset!AO19,'standardized values'!$AB$24,'standardized values'!$AD$24)</f>
        <v>-0.28421820277128096</v>
      </c>
      <c r="O19">
        <f>STANDARDIZE(Dataset!AP19,'standardized values'!$AB$27,'standardized values'!$AD$27)</f>
        <v>-0.7374105952481208</v>
      </c>
      <c r="P19">
        <f>STANDARDIZE(Dataset!AQ19,'standardized values'!$AB$28,'standardized values'!$AD$28)</f>
        <v>-0.20215729443283068</v>
      </c>
      <c r="Q19">
        <f>STANDARDIZE(Dataset!AD19,'standardized values'!$AB$15,'standardized values'!$AD$15)</f>
        <v>5.3448631399922106E-2</v>
      </c>
      <c r="R19">
        <f>STANDARDIZE(Dataset!AE19,'standardized values'!$AB$16,'standardized values'!$AD$16)</f>
        <v>-1.955448124573821E-2</v>
      </c>
      <c r="S19">
        <f>STANDARDIZE(Dataset!AF19,'standardized values'!$AB$17,'standardized values'!$AD$17)</f>
        <v>-0.91540882739784546</v>
      </c>
      <c r="T19">
        <f>STANDARDIZE(Dataset!AG19,'standardized values'!$AB$18,'standardized values'!$AD$18)</f>
        <v>-0.30070299301981657</v>
      </c>
      <c r="U19">
        <f>STANDARDIZE(Dataset!AH19,'standardized values'!$AB$19,'standardized values'!$AD$19)</f>
        <v>9.0249626625124556E-3</v>
      </c>
      <c r="V19">
        <f>STANDARDIZE(Dataset!AR19,AVERAGE(Dataset!$AR$2:$AR$51),STDEV(Dataset!$AR$2:$AR$51))</f>
        <v>-0.37513772330079076</v>
      </c>
      <c r="W19">
        <f>STANDARDIZE(Dataset!AS19,AVERAGE(Dataset!$AS$2:$AS$51),STDEV(Dataset!$AS$2:$AS$51))</f>
        <v>-0.47625400567374176</v>
      </c>
      <c r="X19">
        <f>STANDARDIZE(Dataset!AT19,AVERAGE(Dataset!$AT$2:$AT$51),STDEV(Dataset!$AT$2:$AT$51))</f>
        <v>-0.34093344469913051</v>
      </c>
      <c r="Y19"/>
      <c r="Z19" s="51" t="s">
        <v>184</v>
      </c>
      <c r="AA19" s="67">
        <v>50</v>
      </c>
      <c r="AB19" s="23">
        <f>AVERAGE(Dataset!$AH$2:$AH$51)</f>
        <v>0.13095256216382128</v>
      </c>
      <c r="AC19" s="23">
        <f>MEDIAN(Dataset!$AH$2:$AH$51)</f>
        <v>0.12524049606052781</v>
      </c>
      <c r="AD19" s="23">
        <f>STDEV(Dataset!$AH$2:$AH$51)</f>
        <v>3.9958086886899294E-2</v>
      </c>
      <c r="AE19" s="23">
        <f>MAX(Dataset!$AH$2:$AH$51)</f>
        <v>0.31003001108117473</v>
      </c>
      <c r="AF19" s="23">
        <f>MIN(Dataset!$AH$2:$AH$51)</f>
        <v>7.9548685785644668E-2</v>
      </c>
      <c r="AH19" s="8" t="s">
        <v>79</v>
      </c>
      <c r="AI19" s="31">
        <f t="shared" si="0"/>
        <v>-1.1923251736736631</v>
      </c>
      <c r="AJ19" s="31">
        <f t="shared" si="1"/>
        <v>-1.096898902003197</v>
      </c>
      <c r="AK19" s="31">
        <f t="shared" si="2"/>
        <v>-1.4061743000826954</v>
      </c>
      <c r="AL19" s="31">
        <f t="shared" si="3"/>
        <v>0.29740814504975044</v>
      </c>
      <c r="AM19" s="31">
        <f t="shared" si="4"/>
        <v>-0.93956788968095151</v>
      </c>
      <c r="AN19" s="31">
        <f t="shared" si="5"/>
        <v>-1.0833806804781652</v>
      </c>
      <c r="AO19" s="31"/>
    </row>
    <row r="20" spans="1:41" s="8" customFormat="1" ht="15.75" customHeight="1" x14ac:dyDescent="0.25">
      <c r="A20" s="8" t="s">
        <v>80</v>
      </c>
      <c r="B20" s="8" t="s">
        <v>81</v>
      </c>
      <c r="C20" s="8">
        <v>2015</v>
      </c>
      <c r="D20">
        <f>STANDARDIZE(Dataset!X20,'standardized values'!$AB$9,'standardized values'!$AD$9)</f>
        <v>-0.57163376799451782</v>
      </c>
      <c r="E20">
        <f>STANDARDIZE(Dataset!Y20,'standardized values'!$AB$10,'standardized values'!$AD$10)</f>
        <v>-0.62541243151532144</v>
      </c>
      <c r="F20">
        <f>STANDARDIZE(Dataset!Z20,'standardized values'!$AB$11,'standardized values'!$AD$11)</f>
        <v>-0.51848305932735894</v>
      </c>
      <c r="G20">
        <f>STANDARDIZE(Dataset!AA20,'standardized values'!$AB$12,'standardized values'!$AD$12)</f>
        <v>0.35880949513758026</v>
      </c>
      <c r="H20">
        <f>STANDARDIZE(Dataset!AB20,'standardized values'!$AB$13,'standardized values'!$AD$13)</f>
        <v>0.22750261121405571</v>
      </c>
      <c r="I20">
        <f>STANDARDIZE(Dataset!AC20,'standardized values'!$AB$14,'standardized values'!$AD$14)</f>
        <v>-0.11812626824988527</v>
      </c>
      <c r="J20">
        <f>STANDARDIZE(Dataset!AK20,'standardized values'!$AB$20,'standardized values'!$AD$20)</f>
        <v>-0.48215719324506562</v>
      </c>
      <c r="K20">
        <f>STANDARDIZE(Dataset!AL20,'standardized values'!$AB$21,'standardized values'!$AD$21)</f>
        <v>-0.1481973615740316</v>
      </c>
      <c r="L20">
        <f>STANDARDIZE(Dataset!AM20,'standardized values'!$AB$22,'standardized values'!$AD$22)</f>
        <v>-0.44358457528929823</v>
      </c>
      <c r="M20">
        <f>STANDARDIZE(Dataset!AN20,'standardized values'!$AB$23,'standardized values'!$AD$23)</f>
        <v>-0.44495596342825827</v>
      </c>
      <c r="N20">
        <f>STANDARDIZE(Dataset!AO20,'standardized values'!$AB$24,'standardized values'!$AD$24)</f>
        <v>-0.3328882426092572</v>
      </c>
      <c r="O20">
        <f>STANDARDIZE(Dataset!AP20,'standardized values'!$AB$27,'standardized values'!$AD$27)</f>
        <v>0.13134081161494168</v>
      </c>
      <c r="P20">
        <f>STANDARDIZE(Dataset!AQ20,'standardized values'!$AB$28,'standardized values'!$AD$28)</f>
        <v>-0.20145797986157549</v>
      </c>
      <c r="Q20">
        <f>STANDARDIZE(Dataset!AD20,'standardized values'!$AB$15,'standardized values'!$AD$15)</f>
        <v>-0.12449037094721943</v>
      </c>
      <c r="R20">
        <f>STANDARDIZE(Dataset!AE20,'standardized values'!$AB$16,'standardized values'!$AD$16)</f>
        <v>-0.450048318615901</v>
      </c>
      <c r="S20">
        <f>STANDARDIZE(Dataset!AF20,'standardized values'!$AB$17,'standardized values'!$AD$17)</f>
        <v>0.46612271636409841</v>
      </c>
      <c r="T20">
        <f>STANDARDIZE(Dataset!AG20,'standardized values'!$AB$18,'standardized values'!$AD$18)</f>
        <v>0.19224974527065056</v>
      </c>
      <c r="U20">
        <f>STANDARDIZE(Dataset!AH20,'standardized values'!$AB$19,'standardized values'!$AD$19)</f>
        <v>5.0445891697063545E-2</v>
      </c>
      <c r="V20">
        <f>STANDARDIZE(Dataset!AR20,AVERAGE(Dataset!$AR$2:$AR$51),STDEV(Dataset!$AR$2:$AR$51))</f>
        <v>-0.87841758852654972</v>
      </c>
      <c r="W20">
        <f>STANDARDIZE(Dataset!AS20,AVERAGE(Dataset!$AS$2:$AS$51),STDEV(Dataset!$AS$2:$AS$51))</f>
        <v>-0.82884376228825318</v>
      </c>
      <c r="X20">
        <f>STANDARDIZE(Dataset!AT20,AVERAGE(Dataset!$AT$2:$AT$51),STDEV(Dataset!$AT$2:$AT$51))</f>
        <v>-0.68473143674196735</v>
      </c>
      <c r="Y20"/>
      <c r="Z20" s="20" t="s">
        <v>68</v>
      </c>
      <c r="AA20" s="66">
        <v>50</v>
      </c>
      <c r="AB20" s="24">
        <f>AVERAGE(Dataset!$AK$2:$AK$51)</f>
        <v>3.7169254970937287</v>
      </c>
      <c r="AC20" s="24">
        <f>MEDIAN(Dataset!$AK$2:$AK$51)</f>
        <v>2.6706921787419153</v>
      </c>
      <c r="AD20" s="24">
        <f>STDEV(Dataset!$AK$2:$AK$51)</f>
        <v>3.7233094319608462</v>
      </c>
      <c r="AE20" s="24">
        <f>MAX(Dataset!$AK$2:$AK$51)</f>
        <v>20.918712265234923</v>
      </c>
      <c r="AF20" s="24">
        <f>MIN(Dataset!$AK$2:$AK$51)</f>
        <v>0.27812171503842087</v>
      </c>
      <c r="AH20" s="8" t="s">
        <v>81</v>
      </c>
      <c r="AI20" s="31">
        <f t="shared" si="0"/>
        <v>-2.3919927875567701</v>
      </c>
      <c r="AJ20" s="31">
        <f t="shared" si="1"/>
        <v>-0.74848082306898256</v>
      </c>
      <c r="AK20" s="31">
        <f t="shared" si="2"/>
        <v>0.586312106351636</v>
      </c>
      <c r="AL20" s="31">
        <f t="shared" si="3"/>
        <v>-1.2214287813268137</v>
      </c>
      <c r="AM20" s="31">
        <f t="shared" si="4"/>
        <v>-7.0117168246633804E-2</v>
      </c>
      <c r="AN20" s="31">
        <f t="shared" si="5"/>
        <v>-0.83599091568603978</v>
      </c>
      <c r="AO20" s="31"/>
    </row>
    <row r="21" spans="1:41" s="8" customFormat="1" ht="15.75" customHeight="1" x14ac:dyDescent="0.25">
      <c r="A21" s="8" t="s">
        <v>82</v>
      </c>
      <c r="B21" s="8" t="s">
        <v>83</v>
      </c>
      <c r="C21" s="8">
        <v>2015</v>
      </c>
      <c r="D21">
        <f>STANDARDIZE(Dataset!X21,'standardized values'!$AB$9,'standardized values'!$AD$9)</f>
        <v>-0.59024565097741921</v>
      </c>
      <c r="E21">
        <f>STANDARDIZE(Dataset!Y21,'standardized values'!$AB$10,'standardized values'!$AD$10)</f>
        <v>-0.61303888804084805</v>
      </c>
      <c r="F21">
        <f>STANDARDIZE(Dataset!Z21,'standardized values'!$AB$11,'standardized values'!$AD$11)</f>
        <v>-0.64176306176846543</v>
      </c>
      <c r="G21">
        <f>STANDARDIZE(Dataset!AA21,'standardized values'!$AB$12,'standardized values'!$AD$12)</f>
        <v>-0.27944082144749732</v>
      </c>
      <c r="H21">
        <f>STANDARDIZE(Dataset!AB21,'standardized values'!$AB$13,'standardized values'!$AD$13)</f>
        <v>-6.4564889572263723E-2</v>
      </c>
      <c r="I21">
        <f>STANDARDIZE(Dataset!AC21,'standardized values'!$AB$14,'standardized values'!$AD$14)</f>
        <v>-0.4520391811299605</v>
      </c>
      <c r="J21">
        <f>STANDARDIZE(Dataset!AK21,'standardized values'!$AB$20,'standardized values'!$AD$20)</f>
        <v>-0.71346188474536598</v>
      </c>
      <c r="K21">
        <f>STANDARDIZE(Dataset!AL21,'standardized values'!$AB$21,'standardized values'!$AD$21)</f>
        <v>-0.66038997494946072</v>
      </c>
      <c r="L21">
        <f>STANDARDIZE(Dataset!AM21,'standardized values'!$AB$22,'standardized values'!$AD$22)</f>
        <v>-0.11955900009833795</v>
      </c>
      <c r="M21">
        <f>STANDARDIZE(Dataset!AN21,'standardized values'!$AB$23,'standardized values'!$AD$23)</f>
        <v>0.54082365953541445</v>
      </c>
      <c r="N21">
        <f>STANDARDIZE(Dataset!AO21,'standardized values'!$AB$24,'standardized values'!$AD$24)</f>
        <v>0.42531088603900169</v>
      </c>
      <c r="O21">
        <f>STANDARDIZE(Dataset!AP21,'standardized values'!$AB$27,'standardized values'!$AD$27)</f>
        <v>0.53179901260258922</v>
      </c>
      <c r="P21">
        <f>STANDARDIZE(Dataset!AQ21,'standardized values'!$AB$28,'standardized values'!$AD$28)</f>
        <v>-0.2005302965338788</v>
      </c>
      <c r="Q21">
        <f>STANDARDIZE(Dataset!AD21,'standardized values'!$AB$15,'standardized values'!$AD$15)</f>
        <v>0.45406078324444021</v>
      </c>
      <c r="R21">
        <f>STANDARDIZE(Dataset!AE21,'standardized values'!$AB$16,'standardized values'!$AD$16)</f>
        <v>0.59385362709735157</v>
      </c>
      <c r="S21">
        <f>STANDARDIZE(Dataset!AF21,'standardized values'!$AB$17,'standardized values'!$AD$17)</f>
        <v>-0.18414027229288563</v>
      </c>
      <c r="T21">
        <f>STANDARDIZE(Dataset!AG21,'standardized values'!$AB$18,'standardized values'!$AD$18)</f>
        <v>-0.60857309724348119</v>
      </c>
      <c r="U21">
        <f>STANDARDIZE(Dataset!AH21,'standardized values'!$AB$19,'standardized values'!$AD$19)</f>
        <v>-0.49571647163547117</v>
      </c>
      <c r="V21">
        <f>STANDARDIZE(Dataset!AR21,AVERAGE(Dataset!$AR$2:$AR$51),STDEV(Dataset!$AR$2:$AR$51))</f>
        <v>-0.91191651880165825</v>
      </c>
      <c r="W21">
        <f>STANDARDIZE(Dataset!AS21,AVERAGE(Dataset!$AS$2:$AS$51),STDEV(Dataset!$AS$2:$AS$51))</f>
        <v>-0.81049854660997867</v>
      </c>
      <c r="X21">
        <f>STANDARDIZE(Dataset!AT21,AVERAGE(Dataset!$AT$2:$AT$51),STDEV(Dataset!$AT$2:$AT$51))</f>
        <v>-0.87330159552089492</v>
      </c>
      <c r="Y21"/>
      <c r="Z21" s="8" t="s">
        <v>71</v>
      </c>
      <c r="AA21" s="66">
        <v>50</v>
      </c>
      <c r="AB21" s="19">
        <f>AVERAGE(Dataset!$AL$2:$AL$51)</f>
        <v>4.6298741820661354E-4</v>
      </c>
      <c r="AC21" s="19">
        <f>MEDIAN(Dataset!$AL$2:$AL$51)</f>
        <v>3.5899655408759139E-4</v>
      </c>
      <c r="AD21" s="19">
        <f>STDEV(Dataset!$AL$2:$AL$51)</f>
        <v>4.7004002963835982E-4</v>
      </c>
      <c r="AE21" s="19">
        <f>MAX(Dataset!$AL$2:$AL$51)</f>
        <v>2.6412392671360226E-3</v>
      </c>
      <c r="AF21" s="19">
        <f>MIN(Dataset!$AL$2:$AL$51)</f>
        <v>5.9449960639095533E-5</v>
      </c>
      <c r="AH21" s="8" t="s">
        <v>83</v>
      </c>
      <c r="AI21" s="31">
        <f t="shared" si="0"/>
        <v>-2.5957166609325317</v>
      </c>
      <c r="AJ21" s="31">
        <f t="shared" si="1"/>
        <v>-1.825891040824787</v>
      </c>
      <c r="AK21" s="31">
        <f t="shared" si="2"/>
        <v>-0.34400571101976107</v>
      </c>
      <c r="AL21" s="31">
        <f t="shared" si="3"/>
        <v>0.84657554547607816</v>
      </c>
      <c r="AM21" s="31">
        <f t="shared" si="4"/>
        <v>0.33126871606871044</v>
      </c>
      <c r="AN21" s="31">
        <f t="shared" si="5"/>
        <v>-1.0937075081113021</v>
      </c>
      <c r="AO21" s="31"/>
    </row>
    <row r="22" spans="1:41" s="8" customFormat="1" ht="15.75" customHeight="1" x14ac:dyDescent="0.25">
      <c r="A22" s="8" t="s">
        <v>84</v>
      </c>
      <c r="B22" s="8" t="s">
        <v>85</v>
      </c>
      <c r="C22" s="8">
        <v>2015</v>
      </c>
      <c r="D22">
        <f>STANDARDIZE(Dataset!X22,'standardized values'!$AB$9,'standardized values'!$AD$9)</f>
        <v>-0.61685564783773272</v>
      </c>
      <c r="E22">
        <f>STANDARDIZE(Dataset!Y22,'standardized values'!$AB$10,'standardized values'!$AD$10)</f>
        <v>-0.67360912014995178</v>
      </c>
      <c r="F22">
        <f>STANDARDIZE(Dataset!Z22,'standardized values'!$AB$11,'standardized values'!$AD$11)</f>
        <v>-0.73857159718318288</v>
      </c>
      <c r="G22">
        <f>STANDARDIZE(Dataset!AA22,'standardized values'!$AB$12,'standardized values'!$AD$12)</f>
        <v>-0.97599794830173714</v>
      </c>
      <c r="H22">
        <f>STANDARDIZE(Dataset!AB22,'standardized values'!$AB$13,'standardized values'!$AD$13)</f>
        <v>-0.49063077230672486</v>
      </c>
      <c r="I22">
        <f>STANDARDIZE(Dataset!AC22,'standardized values'!$AB$14,'standardized values'!$AD$14)</f>
        <v>-2.2901110125133042</v>
      </c>
      <c r="J22">
        <f>STANDARDIZE(Dataset!AK22,'standardized values'!$AB$20,'standardized values'!$AD$20)</f>
        <v>-0.88583276640895758</v>
      </c>
      <c r="K22">
        <f>STANDARDIZE(Dataset!AL22,'standardized values'!$AB$21,'standardized values'!$AD$21)</f>
        <v>-0.77050438775358987</v>
      </c>
      <c r="L22">
        <f>STANDARDIZE(Dataset!AM22,'standardized values'!$AB$22,'standardized values'!$AD$22)</f>
        <v>-0.27467005331478017</v>
      </c>
      <c r="M22">
        <f>STANDARDIZE(Dataset!AN22,'standardized values'!$AB$23,'standardized values'!$AD$23)</f>
        <v>-0.20551286804164873</v>
      </c>
      <c r="N22">
        <f>STANDARDIZE(Dataset!AO22,'standardized values'!$AB$24,'standardized values'!$AD$24)</f>
        <v>-0.48073956222755687</v>
      </c>
      <c r="O22">
        <f>STANDARDIZE(Dataset!AP22,'standardized values'!$AB$27,'standardized values'!$AD$27)</f>
        <v>0.32305397545662967</v>
      </c>
      <c r="P22">
        <f>STANDARDIZE(Dataset!AQ22,'standardized values'!$AB$28,'standardized values'!$AD$28)</f>
        <v>-0.20241838632750969</v>
      </c>
      <c r="Q22">
        <f>STANDARDIZE(Dataset!AD22,'standardized values'!$AB$15,'standardized values'!$AD$15)</f>
        <v>2.4328937972994913</v>
      </c>
      <c r="R22">
        <f>STANDARDIZE(Dataset!AE22,'standardized values'!$AB$16,'standardized values'!$AD$16)</f>
        <v>1.4694050005643875</v>
      </c>
      <c r="S22">
        <f>STANDARDIZE(Dataset!AF22,'standardized values'!$AB$17,'standardized values'!$AD$17)</f>
        <v>9.4890749085482867E-2</v>
      </c>
      <c r="T22">
        <f>STANDARDIZE(Dataset!AG22,'standardized values'!$AB$18,'standardized values'!$AD$18)</f>
        <v>-3.7315316398464429E-2</v>
      </c>
      <c r="U22">
        <f>STANDARDIZE(Dataset!AH22,'standardized values'!$AB$19,'standardized values'!$AD$19)</f>
        <v>0.18293455456065241</v>
      </c>
      <c r="V22">
        <f>STANDARDIZE(Dataset!AR22,AVERAGE(Dataset!$AR$2:$AR$51),STDEV(Dataset!$AR$2:$AR$51))</f>
        <v>-0.95981099730570996</v>
      </c>
      <c r="W22">
        <f>STANDARDIZE(Dataset!AS22,AVERAGE(Dataset!$AS$2:$AS$51),STDEV(Dataset!$AS$2:$AS$51))</f>
        <v>-0.90030095236520991</v>
      </c>
      <c r="X22">
        <f>STANDARDIZE(Dataset!AT22,AVERAGE(Dataset!$AT$2:$AT$51),STDEV(Dataset!$AT$2:$AT$51))</f>
        <v>-1.0213807692135592</v>
      </c>
      <c r="Y22"/>
      <c r="Z22" s="8" t="s">
        <v>179</v>
      </c>
      <c r="AA22" s="66">
        <v>50</v>
      </c>
      <c r="AB22" s="19">
        <f>AVERAGE(Dataset!$AM$2:$AM$51)</f>
        <v>19.22233622499424</v>
      </c>
      <c r="AC22" s="19">
        <f>MEDIAN(Dataset!$AM$2:$AM$51)</f>
        <v>17.382971514526787</v>
      </c>
      <c r="AD22" s="19">
        <f>STDEV(Dataset!$AM$2:$AM$51)</f>
        <v>10.090152858097852</v>
      </c>
      <c r="AE22" s="19">
        <f>MAX(Dataset!$AM$2:$AM$51)</f>
        <v>80.478140091207138</v>
      </c>
      <c r="AF22" s="19">
        <f>MIN(Dataset!$AM$2:$AM$51)</f>
        <v>7.6733287422030481</v>
      </c>
      <c r="AH22" s="8" t="s">
        <v>85</v>
      </c>
      <c r="AI22" s="31">
        <f t="shared" si="0"/>
        <v>-2.8814927188844792</v>
      </c>
      <c r="AJ22" s="31">
        <f t="shared" si="1"/>
        <v>-3.946448166675852</v>
      </c>
      <c r="AK22" s="31">
        <f t="shared" si="2"/>
        <v>-1.4666287206084621</v>
      </c>
      <c r="AL22" s="31">
        <f t="shared" si="3"/>
        <v>-0.9609224835839858</v>
      </c>
      <c r="AM22" s="31">
        <f t="shared" si="4"/>
        <v>0.12063558912911998</v>
      </c>
      <c r="AN22" s="31">
        <f t="shared" si="5"/>
        <v>-2.000516009935601</v>
      </c>
      <c r="AO22" s="31"/>
    </row>
    <row r="23" spans="1:41" s="8" customFormat="1" ht="15.75" customHeight="1" x14ac:dyDescent="0.25">
      <c r="A23" s="8" t="s">
        <v>86</v>
      </c>
      <c r="B23" s="8" t="s">
        <v>87</v>
      </c>
      <c r="C23" s="8">
        <v>2015</v>
      </c>
      <c r="D23">
        <f>STANDARDIZE(Dataset!X23,'standardized values'!$AB$9,'standardized values'!$AD$9)</f>
        <v>-0.46170913447459261</v>
      </c>
      <c r="E23">
        <f>STANDARDIZE(Dataset!Y23,'standardized values'!$AB$10,'standardized values'!$AD$10)</f>
        <v>-0.5143537329897534</v>
      </c>
      <c r="F23">
        <f>STANDARDIZE(Dataset!Z23,'standardized values'!$AB$11,'standardized values'!$AD$11)</f>
        <v>-0.43153567297213052</v>
      </c>
      <c r="G23">
        <f>STANDARDIZE(Dataset!AA23,'standardized values'!$AB$12,'standardized values'!$AD$12)</f>
        <v>-0.14231389420034674</v>
      </c>
      <c r="H23">
        <f>STANDARDIZE(Dataset!AB23,'standardized values'!$AB$13,'standardized values'!$AD$13)</f>
        <v>-1.2763289317613259E-2</v>
      </c>
      <c r="I23">
        <f>STANDARDIZE(Dataset!AC23,'standardized values'!$AB$14,'standardized values'!$AD$14)</f>
        <v>0.12736464559687544</v>
      </c>
      <c r="J23">
        <f>STANDARDIZE(Dataset!AK23,'standardized values'!$AB$20,'standardized values'!$AD$20)</f>
        <v>-0.3749856277430792</v>
      </c>
      <c r="K23">
        <f>STANDARDIZE(Dataset!AL23,'standardized values'!$AB$21,'standardized values'!$AD$21)</f>
        <v>0.20343585668106162</v>
      </c>
      <c r="L23">
        <f>STANDARDIZE(Dataset!AM23,'standardized values'!$AB$22,'standardized values'!$AD$22)</f>
        <v>-0.375130245661001</v>
      </c>
      <c r="M23">
        <f>STANDARDIZE(Dataset!AN23,'standardized values'!$AB$23,'standardized values'!$AD$23)</f>
        <v>-0.24979836919472612</v>
      </c>
      <c r="N23">
        <f>STANDARDIZE(Dataset!AO23,'standardized values'!$AB$24,'standardized values'!$AD$24)</f>
        <v>-0.28270417367100859</v>
      </c>
      <c r="O23">
        <f>STANDARDIZE(Dataset!AP23,'standardized values'!$AB$27,'standardized values'!$AD$27)</f>
        <v>-0.32720263210982375</v>
      </c>
      <c r="P23">
        <f>STANDARDIZE(Dataset!AQ23,'standardized values'!$AB$28,'standardized values'!$AD$28)</f>
        <v>-0.20329526178866758</v>
      </c>
      <c r="Q23">
        <f>STANDARDIZE(Dataset!AD23,'standardized values'!$AB$15,'standardized values'!$AD$15)</f>
        <v>-0.24698464347500015</v>
      </c>
      <c r="R23">
        <f>STANDARDIZE(Dataset!AE23,'standardized values'!$AB$16,'standardized values'!$AD$16)</f>
        <v>-0.64579675994760222</v>
      </c>
      <c r="S23">
        <f>STANDARDIZE(Dataset!AF23,'standardized values'!$AB$17,'standardized values'!$AD$17)</f>
        <v>0.30579842983904509</v>
      </c>
      <c r="T23">
        <f>STANDARDIZE(Dataset!AG23,'standardized values'!$AB$18,'standardized values'!$AD$18)</f>
        <v>3.1212207854753571E-3</v>
      </c>
      <c r="U23">
        <f>STANDARDIZE(Dataset!AH23,'standardized values'!$AB$19,'standardized values'!$AD$19)</f>
        <v>7.7529703427204593E-3</v>
      </c>
      <c r="V23">
        <f>STANDARDIZE(Dataset!AR23,AVERAGE(Dataset!$AR$2:$AR$51),STDEV(Dataset!$AR$2:$AR$51))</f>
        <v>-0.68056777197742446</v>
      </c>
      <c r="W23">
        <f>STANDARDIZE(Dataset!AS23,AVERAGE(Dataset!$AS$2:$AS$51),STDEV(Dataset!$AS$2:$AS$51))</f>
        <v>-0.66418633965073992</v>
      </c>
      <c r="X23">
        <f>STANDARDIZE(Dataset!AT23,AVERAGE(Dataset!$AT$2:$AT$51),STDEV(Dataset!$AT$2:$AT$51))</f>
        <v>-0.55173596200346919</v>
      </c>
      <c r="Y23"/>
      <c r="Z23" s="8" t="s">
        <v>180</v>
      </c>
      <c r="AA23" s="66">
        <v>50</v>
      </c>
      <c r="AB23" s="19">
        <f>AVERAGE(Dataset!$AN$2:$AN$51)</f>
        <v>7.8901389942674758</v>
      </c>
      <c r="AC23" s="19">
        <f>MEDIAN(Dataset!$AN$2:$AN$51)</f>
        <v>7.8666186276161074</v>
      </c>
      <c r="AD23" s="19">
        <f>STDEV(Dataset!$AN$2:$AN$51)</f>
        <v>1.8147546535725385</v>
      </c>
      <c r="AE23" s="19">
        <f>MAX(Dataset!$AN$2:$AN$51)</f>
        <v>11.867073199682126</v>
      </c>
      <c r="AF23" s="19">
        <f>MIN(Dataset!$AN$2:$AN$51)</f>
        <v>4.0907051087767696</v>
      </c>
      <c r="AH23" s="8" t="s">
        <v>87</v>
      </c>
      <c r="AI23" s="31">
        <f t="shared" si="0"/>
        <v>-1.8964900736316337</v>
      </c>
      <c r="AJ23" s="31">
        <f t="shared" si="1"/>
        <v>-4.4185125465142139E-2</v>
      </c>
      <c r="AK23" s="31">
        <f t="shared" si="2"/>
        <v>-0.15507718351795999</v>
      </c>
      <c r="AL23" s="31">
        <f t="shared" si="3"/>
        <v>-0.90763278852673568</v>
      </c>
      <c r="AM23" s="31">
        <f t="shared" si="4"/>
        <v>-0.53049789389849134</v>
      </c>
      <c r="AN23" s="31">
        <f t="shared" si="5"/>
        <v>-0.86628012079139471</v>
      </c>
      <c r="AO23" s="31"/>
    </row>
    <row r="24" spans="1:41" s="8" customFormat="1" ht="15.75" customHeight="1" x14ac:dyDescent="0.25">
      <c r="A24" s="8" t="s">
        <v>88</v>
      </c>
      <c r="B24" s="8" t="s">
        <v>89</v>
      </c>
      <c r="C24" s="8">
        <v>2015</v>
      </c>
      <c r="D24">
        <f>STANDARDIZE(Dataset!X24,'standardized values'!$AB$9,'standardized values'!$AD$9)</f>
        <v>-0.1756368425111941</v>
      </c>
      <c r="E24">
        <f>STANDARDIZE(Dataset!Y24,'standardized values'!$AB$10,'standardized values'!$AD$10)</f>
        <v>-0.24991388529787031</v>
      </c>
      <c r="F24">
        <f>STANDARDIZE(Dataset!Z24,'standardized values'!$AB$11,'standardized values'!$AD$11)</f>
        <v>-0.3145057396789474</v>
      </c>
      <c r="G24">
        <f>STANDARDIZE(Dataset!AA24,'standardized values'!$AB$12,'standardized values'!$AD$12)</f>
        <v>0.25502766073288236</v>
      </c>
      <c r="H24">
        <f>STANDARDIZE(Dataset!AB24,'standardized values'!$AB$13,'standardized values'!$AD$13)</f>
        <v>0.22441319573200483</v>
      </c>
      <c r="I24">
        <f>STANDARDIZE(Dataset!AC24,'standardized values'!$AB$14,'standardized values'!$AD$14)</f>
        <v>0.30371404533977681</v>
      </c>
      <c r="J24">
        <f>STANDARDIZE(Dataset!AK24,'standardized values'!$AB$20,'standardized values'!$AD$20)</f>
        <v>-0.23287157449908669</v>
      </c>
      <c r="K24">
        <f>STANDARDIZE(Dataset!AL24,'standardized values'!$AB$21,'standardized values'!$AD$21)</f>
        <v>-7.3064657396935823E-2</v>
      </c>
      <c r="L24">
        <f>STANDARDIZE(Dataset!AM24,'standardized values'!$AB$22,'standardized values'!$AD$22)</f>
        <v>-0.73118854514242071</v>
      </c>
      <c r="M24">
        <f>STANDARDIZE(Dataset!AN24,'standardized values'!$AB$23,'standardized values'!$AD$23)</f>
        <v>-0.42959761367724492</v>
      </c>
      <c r="N24">
        <f>STANDARDIZE(Dataset!AO24,'standardized values'!$AB$24,'standardized values'!$AD$24)</f>
        <v>-0.34598931565570534</v>
      </c>
      <c r="O24">
        <f>STANDARDIZE(Dataset!AP24,'standardized values'!$AB$27,'standardized values'!$AD$27)</f>
        <v>-0.41009677939509359</v>
      </c>
      <c r="P24">
        <f>STANDARDIZE(Dataset!AQ24,'standardized values'!$AB$28,'standardized values'!$AD$28)</f>
        <v>-0.12824028942986501</v>
      </c>
      <c r="Q24">
        <f>STANDARDIZE(Dataset!AD24,'standardized values'!$AB$15,'standardized values'!$AD$15)</f>
        <v>-0.356515007180985</v>
      </c>
      <c r="R24">
        <f>STANDARDIZE(Dataset!AE24,'standardized values'!$AB$16,'standardized values'!$AD$16)</f>
        <v>-0.50455498363805107</v>
      </c>
      <c r="S24">
        <f>STANDARDIZE(Dataset!AF24,'standardized values'!$AB$17,'standardized values'!$AD$17)</f>
        <v>1.3440212185558984</v>
      </c>
      <c r="T24">
        <f>STANDARDIZE(Dataset!AG24,'standardized values'!$AB$18,'standardized values'!$AD$18)</f>
        <v>0.17668286692163726</v>
      </c>
      <c r="U24">
        <f>STANDARDIZE(Dataset!AH24,'standardized values'!$AB$19,'standardized values'!$AD$19)</f>
        <v>6.177460869238216E-2</v>
      </c>
      <c r="V24">
        <f>STANDARDIZE(Dataset!AR24,AVERAGE(Dataset!$AR$2:$AR$51),STDEV(Dataset!$AR$2:$AR$51))</f>
        <v>-0.1656754437306637</v>
      </c>
      <c r="W24">
        <f>STANDARDIZE(Dataset!AS24,AVERAGE(Dataset!$AS$2:$AS$51),STDEV(Dataset!$AS$2:$AS$51))</f>
        <v>-0.27212354455524584</v>
      </c>
      <c r="X24">
        <f>STANDARDIZE(Dataset!AT24,AVERAGE(Dataset!$AT$2:$AT$51),STDEV(Dataset!$AT$2:$AT$51))</f>
        <v>-0.37272596309042266</v>
      </c>
      <c r="Y24"/>
      <c r="Z24" s="39" t="s">
        <v>181</v>
      </c>
      <c r="AA24" s="66">
        <v>50</v>
      </c>
      <c r="AB24" s="19">
        <f>AVERAGE(Dataset!$AO$2:$AO$51)</f>
        <v>8.1689335200721764</v>
      </c>
      <c r="AC24" s="19">
        <f>MEDIAN(Dataset!$AO$2:$AO$51)</f>
        <v>7.9849342175261411</v>
      </c>
      <c r="AD24" s="19">
        <f>STDEV(Dataset!$AO$2:$AO$51)</f>
        <v>1.9476298927212043</v>
      </c>
      <c r="AE24" s="19">
        <f>MAX(Dataset!$AO$2:$AO$51)</f>
        <v>12.57091792433433</v>
      </c>
      <c r="AF24" s="19">
        <f>MIN(Dataset!$AO$2:$AO$51)</f>
        <v>3.2254941917160767</v>
      </c>
      <c r="AH24" s="8" t="s">
        <v>89</v>
      </c>
      <c r="AI24" s="31">
        <f t="shared" si="0"/>
        <v>-0.81052495137633218</v>
      </c>
      <c r="AJ24" s="31">
        <f t="shared" si="1"/>
        <v>-2.2221865562457033E-3</v>
      </c>
      <c r="AK24" s="31">
        <f t="shared" si="2"/>
        <v>0.47944085646488721</v>
      </c>
      <c r="AL24" s="31">
        <f t="shared" si="3"/>
        <v>-1.5067754744753712</v>
      </c>
      <c r="AM24" s="31">
        <f t="shared" si="4"/>
        <v>-0.53833706882495858</v>
      </c>
      <c r="AN24" s="31">
        <f t="shared" si="5"/>
        <v>-0.32061290620466332</v>
      </c>
      <c r="AO24" s="31"/>
    </row>
    <row r="25" spans="1:41" s="8" customFormat="1" ht="15.75" customHeight="1" x14ac:dyDescent="0.25">
      <c r="A25" s="8" t="s">
        <v>90</v>
      </c>
      <c r="B25" s="8" t="s">
        <v>91</v>
      </c>
      <c r="C25" s="8">
        <v>2015</v>
      </c>
      <c r="D25">
        <f>STANDARDIZE(Dataset!X25,'standardized values'!$AB$9,'standardized values'!$AD$9)</f>
        <v>-0.13270684760311799</v>
      </c>
      <c r="E25">
        <f>STANDARDIZE(Dataset!Y25,'standardized values'!$AB$10,'standardized values'!$AD$10)</f>
        <v>-0.30059041131925668</v>
      </c>
      <c r="F25">
        <f>STANDARDIZE(Dataset!Z25,'standardized values'!$AB$11,'standardized values'!$AD$11)</f>
        <v>-0.29701397081354142</v>
      </c>
      <c r="G25">
        <f>STANDARDIZE(Dataset!AA25,'standardized values'!$AB$12,'standardized values'!$AD$12)</f>
        <v>-0.14564241392397309</v>
      </c>
      <c r="H25">
        <f>STANDARDIZE(Dataset!AB25,'standardized values'!$AB$13,'standardized values'!$AD$13)</f>
        <v>-1.6005664495186676E-2</v>
      </c>
      <c r="I25">
        <f>STANDARDIZE(Dataset!AC25,'standardized values'!$AB$14,'standardized values'!$AD$14)</f>
        <v>0.16141396063962124</v>
      </c>
      <c r="J25">
        <f>STANDARDIZE(Dataset!AK25,'standardized values'!$AB$20,'standardized values'!$AD$20)</f>
        <v>-0.24423108615055519</v>
      </c>
      <c r="K25">
        <f>STANDARDIZE(Dataset!AL25,'standardized values'!$AB$21,'standardized values'!$AD$21)</f>
        <v>-0.22503486123155275</v>
      </c>
      <c r="L25">
        <f>STANDARDIZE(Dataset!AM25,'standardized values'!$AB$22,'standardized values'!$AD$22)</f>
        <v>-0.38938565207340725</v>
      </c>
      <c r="M25">
        <f>STANDARDIZE(Dataset!AN25,'standardized values'!$AB$23,'standardized values'!$AD$23)</f>
        <v>-0.92667553235738576</v>
      </c>
      <c r="N25">
        <f>STANDARDIZE(Dataset!AO25,'standardized values'!$AB$24,'standardized values'!$AD$24)</f>
        <v>-0.92958818500291485</v>
      </c>
      <c r="O25">
        <f>STANDARDIZE(Dataset!AP25,'standardized values'!$AB$27,'standardized values'!$AD$27)</f>
        <v>-1.347165322584887</v>
      </c>
      <c r="P25">
        <f>STANDARDIZE(Dataset!AQ25,'standardized values'!$AB$28,'standardized values'!$AD$28)</f>
        <v>-0.17983284331968383</v>
      </c>
      <c r="Q25">
        <f>STANDARDIZE(Dataset!AD25,'standardized values'!$AB$15,'standardized values'!$AD$15)</f>
        <v>-0.34927812493685867</v>
      </c>
      <c r="R25">
        <f>STANDARDIZE(Dataset!AE25,'standardized values'!$AB$16,'standardized values'!$AD$16)</f>
        <v>-0.38315779452740661</v>
      </c>
      <c r="S25">
        <f>STANDARDIZE(Dataset!AF25,'standardized values'!$AB$17,'standardized values'!$AD$17)</f>
        <v>0.33799158946120911</v>
      </c>
      <c r="T25">
        <f>STANDARDIZE(Dataset!AG25,'standardized values'!$AB$18,'standardized values'!$AD$18)</f>
        <v>0.75145302784026113</v>
      </c>
      <c r="U25">
        <f>STANDARDIZE(Dataset!AH25,'standardized values'!$AB$19,'standardized values'!$AD$19)</f>
        <v>0.6586582499298399</v>
      </c>
      <c r="V25">
        <f>STANDARDIZE(Dataset!AR25,AVERAGE(Dataset!$AR$2:$AR$51),STDEV(Dataset!$AR$2:$AR$51))</f>
        <v>-8.8407125019570099E-2</v>
      </c>
      <c r="W25">
        <f>STANDARDIZE(Dataset!AS25,AVERAGE(Dataset!$AS$2:$AS$51),STDEV(Dataset!$AS$2:$AS$51))</f>
        <v>-0.34725738164935988</v>
      </c>
      <c r="X25">
        <f>STANDARDIZE(Dataset!AT25,AVERAGE(Dataset!$AT$2:$AT$51),STDEV(Dataset!$AT$2:$AT$51))</f>
        <v>-0.34597040203460877</v>
      </c>
      <c r="Y25"/>
      <c r="Z25" s="39" t="s">
        <v>210</v>
      </c>
      <c r="AA25" s="66">
        <v>50</v>
      </c>
      <c r="AB25" s="31">
        <f>AVERAGE(Dataset!$AI$2:$AI$51)</f>
        <v>0.35034573572479566</v>
      </c>
      <c r="AC25" s="31">
        <f>MEDIAN(Dataset!$AI$2:$AI$51)</f>
        <v>0.32016021475526346</v>
      </c>
      <c r="AD25" s="31">
        <f>STDEV(Dataset!$AI$2:$AI$51)</f>
        <v>0.13083268467186779</v>
      </c>
      <c r="AE25" s="31">
        <f>MAX(Dataset!$AI$2:$AI$51)</f>
        <v>0.72810886660890817</v>
      </c>
      <c r="AF25" s="31">
        <f>MIN(Dataset!$AI$2:$AI$51)</f>
        <v>0.16065956541232509</v>
      </c>
      <c r="AH25" s="8" t="s">
        <v>91</v>
      </c>
      <c r="AI25" s="31">
        <f t="shared" si="0"/>
        <v>-0.7816349087035388</v>
      </c>
      <c r="AJ25" s="31">
        <f t="shared" si="1"/>
        <v>-0.30785198674248671</v>
      </c>
      <c r="AK25" s="31">
        <f t="shared" si="2"/>
        <v>-0.16164807841915976</v>
      </c>
      <c r="AL25" s="31">
        <f t="shared" si="3"/>
        <v>-2.2456493694337079</v>
      </c>
      <c r="AM25" s="31">
        <f t="shared" si="4"/>
        <v>-1.5269981659045708</v>
      </c>
      <c r="AN25" s="31">
        <f t="shared" si="5"/>
        <v>-0.73819899770102093</v>
      </c>
      <c r="AO25" s="31"/>
    </row>
    <row r="26" spans="1:41" s="8" customFormat="1" ht="15.75" customHeight="1" x14ac:dyDescent="0.25">
      <c r="A26" s="8" t="s">
        <v>92</v>
      </c>
      <c r="B26" s="8" t="s">
        <v>93</v>
      </c>
      <c r="C26" s="8">
        <v>2015</v>
      </c>
      <c r="D26">
        <f>STANDARDIZE(Dataset!X26,'standardized values'!$AB$9,'standardized values'!$AD$9)</f>
        <v>-1.3252004161061032E-2</v>
      </c>
      <c r="E26">
        <f>STANDARDIZE(Dataset!Y26,'standardized values'!$AB$10,'standardized values'!$AD$10)</f>
        <v>0.39627051814697922</v>
      </c>
      <c r="F26">
        <f>STANDARDIZE(Dataset!Z26,'standardized values'!$AB$11,'standardized values'!$AD$11)</f>
        <v>0.33724844960627026</v>
      </c>
      <c r="G26">
        <f>STANDARDIZE(Dataset!AA26,'standardized values'!$AB$12,'standardized values'!$AD$12)</f>
        <v>0.22444092424198014</v>
      </c>
      <c r="H26">
        <f>STANDARDIZE(Dataset!AB26,'standardized values'!$AB$13,'standardized values'!$AD$13)</f>
        <v>6.4216769888180258E-2</v>
      </c>
      <c r="I26">
        <f>STANDARDIZE(Dataset!AC26,'standardized values'!$AB$14,'standardized values'!$AD$14)</f>
        <v>0.21150786943498992</v>
      </c>
      <c r="J26">
        <f>STANDARDIZE(Dataset!AK26,'standardized values'!$AB$20,'standardized values'!$AD$20)</f>
        <v>1.0904668804437878E-3</v>
      </c>
      <c r="K26">
        <f>STANDARDIZE(Dataset!AL26,'standardized values'!$AB$21,'standardized values'!$AD$21)</f>
        <v>0.18677404365314135</v>
      </c>
      <c r="L26">
        <f>STANDARDIZE(Dataset!AM26,'standardized values'!$AB$22,'standardized values'!$AD$22)</f>
        <v>0.30559166084444961</v>
      </c>
      <c r="M26">
        <f>STANDARDIZE(Dataset!AN26,'standardized values'!$AB$23,'standardized values'!$AD$23)</f>
        <v>1.1396336003765815</v>
      </c>
      <c r="N26">
        <f>STANDARDIZE(Dataset!AO26,'standardized values'!$AB$24,'standardized values'!$AD$24)</f>
        <v>1.1835797960928698</v>
      </c>
      <c r="O26">
        <f>STANDARDIZE(Dataset!AP26,'standardized values'!$AB$27,'standardized values'!$AD$27)</f>
        <v>-0.32036720355789589</v>
      </c>
      <c r="P26">
        <f>STANDARDIZE(Dataset!AQ26,'standardized values'!$AB$28,'standardized values'!$AD$28)</f>
        <v>-0.19253684435737001</v>
      </c>
      <c r="Q26">
        <f>STANDARDIZE(Dataset!AD26,'standardized values'!$AB$15,'standardized values'!$AD$15)</f>
        <v>-0.46897835816105382</v>
      </c>
      <c r="R26">
        <f>STANDARDIZE(Dataset!AE26,'standardized values'!$AB$16,'standardized values'!$AD$16)</f>
        <v>-0.63917292951195825</v>
      </c>
      <c r="S26">
        <f>STANDARDIZE(Dataset!AF26,'standardized values'!$AB$17,'standardized values'!$AD$17)</f>
        <v>-0.74819819358697359</v>
      </c>
      <c r="T26">
        <f>STANDARDIZE(Dataset!AG26,'standardized values'!$AB$18,'standardized values'!$AD$18)</f>
        <v>-0.95455758488789266</v>
      </c>
      <c r="U26">
        <f>STANDARDIZE(Dataset!AH26,'standardized values'!$AB$19,'standardized values'!$AD$19)</f>
        <v>-0.8879065385761048</v>
      </c>
      <c r="V26">
        <f>STANDARDIZE(Dataset!AR26,AVERAGE(Dataset!$AR$2:$AR$51),STDEV(Dataset!$AR$2:$AR$51))</f>
        <v>0.12659581021088004</v>
      </c>
      <c r="W26">
        <f>STANDARDIZE(Dataset!AS26,AVERAGE(Dataset!$AS$2:$AS$51),STDEV(Dataset!$AS$2:$AS$51))</f>
        <v>0.68591990303020089</v>
      </c>
      <c r="X26">
        <f>STANDARDIZE(Dataset!AT26,AVERAGE(Dataset!$AT$2:$AT$51),STDEV(Dataset!$AT$2:$AT$51))</f>
        <v>0.62420288607193297</v>
      </c>
      <c r="Y26"/>
      <c r="Z26" s="39" t="s">
        <v>212</v>
      </c>
      <c r="AA26" s="68">
        <v>48</v>
      </c>
      <c r="AB26" s="31">
        <f>AVERAGE(Dataset!$AJ$2:$AJ$51)</f>
        <v>3.5225062746682967E-2</v>
      </c>
      <c r="AC26" s="31">
        <f>MEDIAN(Dataset!$AJ$2:$AJ$51)</f>
        <v>2.9483860885979492E-2</v>
      </c>
      <c r="AD26" s="31">
        <f>STDEV(Dataset!$AJ$2:$AJ$51)</f>
        <v>3.7323358627829227E-2</v>
      </c>
      <c r="AE26" s="31">
        <f>MAX(Dataset!$AJ$2:$AJ$51)</f>
        <v>0.15208005770172581</v>
      </c>
      <c r="AF26" s="31">
        <f>MIN(Dataset!$AJ$2:$AJ$51)</f>
        <v>2.7813912189752755E-5</v>
      </c>
      <c r="AH26" s="8" t="s">
        <v>93</v>
      </c>
      <c r="AI26" s="31">
        <f t="shared" si="0"/>
        <v>1.4367185993130138</v>
      </c>
      <c r="AJ26" s="31">
        <f t="shared" si="1"/>
        <v>0.39937237996857505</v>
      </c>
      <c r="AK26" s="31">
        <f t="shared" si="2"/>
        <v>0.2886576941301604</v>
      </c>
      <c r="AL26" s="31">
        <f t="shared" si="3"/>
        <v>2.628805057313901</v>
      </c>
      <c r="AM26" s="31">
        <f t="shared" si="4"/>
        <v>-0.51290404791526589</v>
      </c>
      <c r="AN26" s="31">
        <f t="shared" si="5"/>
        <v>0.85540904164183207</v>
      </c>
      <c r="AO26" s="31"/>
    </row>
    <row r="27" spans="1:41" ht="15.75" customHeight="1" x14ac:dyDescent="0.25">
      <c r="A27" t="s">
        <v>94</v>
      </c>
      <c r="B27" s="8" t="s">
        <v>95</v>
      </c>
      <c r="C27" s="8">
        <v>2015</v>
      </c>
      <c r="D27">
        <f>STANDARDIZE(Dataset!X27,'standardized values'!$AB$9,'standardized values'!$AD$9)</f>
        <v>0.60116068011705937</v>
      </c>
      <c r="E27">
        <f>STANDARDIZE(Dataset!Y27,'standardized values'!$AB$10,'standardized values'!$AD$10)</f>
        <v>0.55994665742601213</v>
      </c>
      <c r="F27">
        <f>STANDARDIZE(Dataset!Z27,'standardized values'!$AB$11,'standardized values'!$AD$11)</f>
        <v>0.62070412942401154</v>
      </c>
      <c r="G27">
        <f>STANDARDIZE(Dataset!AA27,'standardized values'!$AB$12,'standardized values'!$AD$12)</f>
        <v>0.59638698890423325</v>
      </c>
      <c r="H27">
        <f>STANDARDIZE(Dataset!AB27,'standardized values'!$AB$13,'standardized values'!$AD$13)</f>
        <v>0.2876744238111259</v>
      </c>
      <c r="I27">
        <f>STANDARDIZE(Dataset!AC27,'standardized values'!$AB$14,'standardized values'!$AD$14)</f>
        <v>0.53750433062227287</v>
      </c>
      <c r="J27">
        <f>STANDARDIZE(Dataset!AK27,'standardized values'!$AB$20,'standardized values'!$AD$20)</f>
        <v>0.25406333694530431</v>
      </c>
      <c r="K27">
        <f>STANDARDIZE(Dataset!AL27,'standardized values'!$AB$21,'standardized values'!$AD$21)</f>
        <v>-7.4300630609338475E-2</v>
      </c>
      <c r="L27">
        <f>STANDARDIZE(Dataset!AM27,'standardized values'!$AB$22,'standardized values'!$AD$22)</f>
        <v>-0.18457921115382625</v>
      </c>
      <c r="M27">
        <f>STANDARDIZE(Dataset!AN27,'standardized values'!$AB$23,'standardized values'!$AD$23)</f>
        <v>-0.40467235768604026</v>
      </c>
      <c r="N27">
        <f>STANDARDIZE(Dataset!AO27,'standardized values'!$AB$24,'standardized values'!$AD$24)</f>
        <v>-0.22784367254391383</v>
      </c>
      <c r="O27">
        <f>STANDARDIZE(Dataset!AP27,'standardized values'!$AB$27,'standardized values'!$AD$27)</f>
        <v>-0.82685677947877134</v>
      </c>
      <c r="P27">
        <f>STANDARDIZE(Dataset!AQ27,'standardized values'!$AB$28,'standardized values'!$AD$28)</f>
        <v>-0.19001666477877288</v>
      </c>
      <c r="Q27">
        <f>STANDARDIZE(Dataset!AD27,'standardized values'!$AB$15,'standardized values'!$AD$15)</f>
        <v>-0.54329919466388177</v>
      </c>
      <c r="R27">
        <f>STANDARDIZE(Dataset!AE27,'standardized values'!$AB$16,'standardized values'!$AD$16)</f>
        <v>-0.50373107800247829</v>
      </c>
      <c r="S27">
        <f>STANDARDIZE(Dataset!AF27,'standardized values'!$AB$17,'standardized values'!$AD$17)</f>
        <v>-7.329944369158975E-2</v>
      </c>
      <c r="T27">
        <f>STANDARDIZE(Dataset!AG27,'standardized values'!$AB$18,'standardized values'!$AD$18)</f>
        <v>0.15167728681990722</v>
      </c>
      <c r="U27">
        <f>STANDARDIZE(Dataset!AH27,'standardized values'!$AB$19,'standardized values'!$AD$19)</f>
        <v>-3.7682308134741029E-2</v>
      </c>
      <c r="V27">
        <f>STANDARDIZE(Dataset!AR27,AVERAGE(Dataset!$AR$2:$AR$51),STDEV(Dataset!$AR$2:$AR$51))</f>
        <v>1.2324574626661255</v>
      </c>
      <c r="W27">
        <f>STANDARDIZE(Dataset!AS27,AVERAGE(Dataset!$AS$2:$AS$51),STDEV(Dataset!$AS$2:$AS$51))</f>
        <v>0.92858879433491603</v>
      </c>
      <c r="X27">
        <f>STANDARDIZE(Dataset!AT27,AVERAGE(Dataset!$AT$2:$AT$51),STDEV(Dataset!$AT$2:$AT$51))</f>
        <v>1.057779147360175</v>
      </c>
      <c r="Z27" s="9" t="s">
        <v>211</v>
      </c>
      <c r="AA27" s="90">
        <v>50</v>
      </c>
      <c r="AB27" s="61">
        <f>AVERAGE(Dataset!$AP$2:$AP$51)</f>
        <v>3.2254280190081759</v>
      </c>
      <c r="AC27" s="61">
        <f>MEDIAN(Dataset!$AP$2:$AP$51)</f>
        <v>3.1234506754659295</v>
      </c>
      <c r="AD27" s="61">
        <f>STDEV(Dataset!$AP$2:$AP$51)</f>
        <v>1.1064866117047945</v>
      </c>
      <c r="AE27" s="61">
        <f>MAX(Dataset!$AP$2:$AP$51)</f>
        <v>6.2243414977100668</v>
      </c>
      <c r="AF27" s="61">
        <f>MIN(Dataset!$AP$2:$AP$51)</f>
        <v>1.373420989442687</v>
      </c>
      <c r="AH27" s="8" t="s">
        <v>95</v>
      </c>
      <c r="AI27" s="31">
        <f t="shared" si="0"/>
        <v>3.2188254043612163</v>
      </c>
      <c r="AJ27" s="31">
        <f t="shared" si="1"/>
        <v>0.71726703695823868</v>
      </c>
      <c r="AK27" s="31">
        <f t="shared" si="2"/>
        <v>0.88406141271535921</v>
      </c>
      <c r="AL27" s="31">
        <f t="shared" si="3"/>
        <v>-0.81709524138378031</v>
      </c>
      <c r="AM27" s="31">
        <f t="shared" si="4"/>
        <v>-1.0168734442575442</v>
      </c>
      <c r="AN27" s="31">
        <f t="shared" si="5"/>
        <v>1.3243402211084927</v>
      </c>
      <c r="AO27" s="31"/>
    </row>
    <row r="28" spans="1:41" x14ac:dyDescent="0.25">
      <c r="A28" t="s">
        <v>96</v>
      </c>
      <c r="B28" s="8" t="s">
        <v>97</v>
      </c>
      <c r="C28" s="8">
        <v>2015</v>
      </c>
      <c r="D28">
        <f>STANDARDIZE(Dataset!X28,'standardized values'!$AB$9,'standardized values'!$AD$9)</f>
        <v>0.25340512106155305</v>
      </c>
      <c r="E28">
        <f>STANDARDIZE(Dataset!Y28,'standardized values'!$AB$10,'standardized values'!$AD$10)</f>
        <v>0.26378507452916161</v>
      </c>
      <c r="F28">
        <f>STANDARDIZE(Dataset!Z28,'standardized values'!$AB$11,'standardized values'!$AD$11)</f>
        <v>0.21871396049652786</v>
      </c>
      <c r="G28">
        <f>STANDARDIZE(Dataset!AA28,'standardized values'!$AB$12,'standardized values'!$AD$12)</f>
        <v>-1.8759007396300736E-2</v>
      </c>
      <c r="H28">
        <f>STANDARDIZE(Dataset!AB28,'standardized values'!$AB$13,'standardized values'!$AD$13)</f>
        <v>8.6396643106727358E-3</v>
      </c>
      <c r="I28">
        <f>STANDARDIZE(Dataset!AC28,'standardized values'!$AB$14,'standardized values'!$AD$14)</f>
        <v>0.62128176983048211</v>
      </c>
      <c r="J28">
        <f>STANDARDIZE(Dataset!AK28,'standardized values'!$AB$20,'standardized values'!$AD$20)</f>
        <v>4.6200261037885406</v>
      </c>
      <c r="K28">
        <f>STANDARDIZE(Dataset!AL28,'standardized values'!$AB$21,'standardized values'!$AD$21)</f>
        <v>4.6341837111305519</v>
      </c>
      <c r="L28">
        <f>STANDARDIZE(Dataset!AM28,'standardized values'!$AB$22,'standardized values'!$AD$22)</f>
        <v>-9.1830452895062767E-2</v>
      </c>
      <c r="M28">
        <f>STANDARDIZE(Dataset!AN28,'standardized values'!$AB$23,'standardized values'!$AD$23)</f>
        <v>1.4679513819463987</v>
      </c>
      <c r="N28">
        <f>STANDARDIZE(Dataset!AO28,'standardized values'!$AB$24,'standardized values'!$AD$24)</f>
        <v>1.4069217278867723</v>
      </c>
      <c r="O28">
        <f>STANDARDIZE(Dataset!AP28,'standardized values'!$AB$27,'standardized values'!$AD$27)</f>
        <v>2.161251785532047</v>
      </c>
      <c r="P28" t="e">
        <f>STANDARDIZE(Dataset!AQ28,'standardized values'!$AB$28,'standardized values'!$AD$28)</f>
        <v>#DIV/0!</v>
      </c>
      <c r="Q28">
        <f>STANDARDIZE(Dataset!AD28,'standardized values'!$AB$15,'standardized values'!$AD$15)</f>
        <v>-0.77145930429580811</v>
      </c>
      <c r="R28">
        <f>STANDARDIZE(Dataset!AE28,'standardized values'!$AB$16,'standardized values'!$AD$16)</f>
        <v>-1.0131072851371867</v>
      </c>
      <c r="S28">
        <f>STANDARDIZE(Dataset!AF28,'standardized values'!$AB$17,'standardized values'!$AD$17)</f>
        <v>-0.22899162354367214</v>
      </c>
      <c r="T28">
        <f>STANDARDIZE(Dataset!AG28,'standardized values'!$AB$18,'standardized values'!$AD$18)</f>
        <v>-1.1140141494356379</v>
      </c>
      <c r="U28">
        <f>STANDARDIZE(Dataset!AH28,'standardized values'!$AB$19,'standardized values'!$AD$19)</f>
        <v>-0.98317872907260362</v>
      </c>
      <c r="V28">
        <f>STANDARDIZE(Dataset!AR28,AVERAGE(Dataset!$AR$2:$AR$51),STDEV(Dataset!$AR$2:$AR$51))</f>
        <v>0.6065434035521694</v>
      </c>
      <c r="W28">
        <f>STANDARDIZE(Dataset!AS28,AVERAGE(Dataset!$AS$2:$AS$51),STDEV(Dataset!$AS$2:$AS$51))</f>
        <v>0.48949484157429679</v>
      </c>
      <c r="X28">
        <f>STANDARDIZE(Dataset!AT28,AVERAGE(Dataset!$AT$2:$AT$51),STDEV(Dataset!$AT$2:$AT$51))</f>
        <v>0.44289150555925616</v>
      </c>
      <c r="Z28" s="81" t="s">
        <v>213</v>
      </c>
      <c r="AA28" s="91">
        <v>48</v>
      </c>
      <c r="AB28" s="47">
        <f>AVERAGE(Dataset!$AQ$2:$AQ$27,Dataset!$AQ$29:$AQ$41,Dataset!$AQ$43:$AQ$51)</f>
        <v>1090.7335085543575</v>
      </c>
      <c r="AC28" s="47">
        <f>MEDIAN(Dataset!$AQ$2:$AQ$27,Dataset!$AQ$29:$AQ$41,Dataset!$AQ$43:$AQ$51)</f>
        <v>33.918057246147569</v>
      </c>
      <c r="AD28" s="47">
        <f>STDEV(Dataset!$AQ$2:$AQ$27,Dataset!$AQ$29:$AQ$41,Dataset!$AQ$43:$AQ$51)</f>
        <v>5259.5935696935758</v>
      </c>
      <c r="AE28" s="47">
        <f>MAX(Dataset!$AQ$2:$AQ$27,Dataset!$AQ$29:$AQ$41,Dataset!$AQ$43:$AQ$51)</f>
        <v>35953.230641478098</v>
      </c>
      <c r="AF28" s="47">
        <f>MIN(Dataset!$AQ$2:$AQ$27,Dataset!$AQ$29:$AQ$41,Dataset!$AQ$43:$AQ$51)</f>
        <v>6.5754840911574171</v>
      </c>
      <c r="AH28" s="8" t="s">
        <v>97</v>
      </c>
      <c r="AI28" s="31">
        <f t="shared" si="0"/>
        <v>1.5389297506857225</v>
      </c>
      <c r="AJ28" s="31">
        <f t="shared" si="1"/>
        <v>9.8754915847495752</v>
      </c>
      <c r="AK28" s="31">
        <f t="shared" si="2"/>
        <v>-1.0119343085628001E-2</v>
      </c>
      <c r="AL28" s="31">
        <f t="shared" si="3"/>
        <v>2.7830426569381084</v>
      </c>
      <c r="AM28" s="31">
        <f>SUM(O28:O28)</f>
        <v>2.161251785532047</v>
      </c>
      <c r="AN28" s="31">
        <f t="shared" si="5"/>
        <v>2.017062245382006</v>
      </c>
      <c r="AO28" s="31"/>
    </row>
    <row r="29" spans="1:41" ht="15.75" customHeight="1" x14ac:dyDescent="0.25">
      <c r="A29" t="s">
        <v>98</v>
      </c>
      <c r="B29" s="8" t="s">
        <v>99</v>
      </c>
      <c r="C29" s="8">
        <v>2015</v>
      </c>
      <c r="D29">
        <f>STANDARDIZE(Dataset!X29,'standardized values'!$AB$9,'standardized values'!$AD$9)</f>
        <v>-0.19191618132026667</v>
      </c>
      <c r="E29">
        <f>STANDARDIZE(Dataset!Y29,'standardized values'!$AB$10,'standardized values'!$AD$10)</f>
        <v>-8.3363125953967859E-2</v>
      </c>
      <c r="F29">
        <f>STANDARDIZE(Dataset!Z29,'standardized values'!$AB$11,'standardized values'!$AD$11)</f>
        <v>-0.14276961945536695</v>
      </c>
      <c r="G29">
        <f>STANDARDIZE(Dataset!AA29,'standardized values'!$AB$12,'standardized values'!$AD$12)</f>
        <v>0.32504417543267905</v>
      </c>
      <c r="H29">
        <f>STANDARDIZE(Dataset!AB29,'standardized values'!$AB$13,'standardized values'!$AD$13)</f>
        <v>5.6342423765285359E-2</v>
      </c>
      <c r="I29">
        <f>STANDARDIZE(Dataset!AC29,'standardized values'!$AB$14,'standardized values'!$AD$14)</f>
        <v>0.17978094656242255</v>
      </c>
      <c r="J29">
        <f>STANDARDIZE(Dataset!AK29,'standardized values'!$AB$20,'standardized values'!$AD$20)</f>
        <v>-0.4308179022107253</v>
      </c>
      <c r="K29">
        <f>STANDARDIZE(Dataset!AL29,'standardized values'!$AB$21,'standardized values'!$AD$21)</f>
        <v>9.680606026689427E-2</v>
      </c>
      <c r="L29">
        <f>STANDARDIZE(Dataset!AM29,'standardized values'!$AB$22,'standardized values'!$AD$22)</f>
        <v>0.68458109172294634</v>
      </c>
      <c r="M29">
        <f>STANDARDIZE(Dataset!AN29,'standardized values'!$AB$23,'standardized values'!$AD$23)</f>
        <v>2.1914445556514379</v>
      </c>
      <c r="N29">
        <f>STANDARDIZE(Dataset!AO29,'standardized values'!$AB$24,'standardized values'!$AD$24)</f>
        <v>2.26017500589486</v>
      </c>
      <c r="O29">
        <f>STANDARDIZE(Dataset!AP29,'standardized values'!$AB$27,'standardized values'!$AD$27)</f>
        <v>-1.2414595634198524</v>
      </c>
      <c r="P29">
        <f>STANDARDIZE(Dataset!AQ29,'standardized values'!$AB$28,'standardized values'!$AD$28)</f>
        <v>-0.18912939972282758</v>
      </c>
      <c r="Q29">
        <f>STANDARDIZE(Dataset!AD29,'standardized values'!$AB$15,'standardized values'!$AD$15)</f>
        <v>-0.18894320975093604</v>
      </c>
      <c r="R29">
        <f>STANDARDIZE(Dataset!AE29,'standardized values'!$AB$16,'standardized values'!$AD$16)</f>
        <v>-0.59988117461142798</v>
      </c>
      <c r="S29">
        <f>STANDARDIZE(Dataset!AF29,'standardized values'!$AB$17,'standardized values'!$AD$17)</f>
        <v>-1.0948778719954471</v>
      </c>
      <c r="T29">
        <f>STANDARDIZE(Dataset!AG29,'standardized values'!$AB$18,'standardized values'!$AD$18)</f>
        <v>-1.4088795226547124</v>
      </c>
      <c r="U29">
        <f>STANDARDIZE(Dataset!AH29,'standardized values'!$AB$19,'standardized values'!$AD$19)</f>
        <v>-1.2864448822005528</v>
      </c>
      <c r="V29">
        <f>STANDARDIZE(Dataset!AR29,AVERAGE(Dataset!$AR$2:$AR$51),STDEV(Dataset!$AR$2:$AR$51))</f>
        <v>-0.19497610268016333</v>
      </c>
      <c r="W29">
        <f>STANDARDIZE(Dataset!AS29,AVERAGE(Dataset!$AS$2:$AS$51),STDEV(Dataset!$AS$2:$AS$51))</f>
        <v>-2.5192695049800123E-2</v>
      </c>
      <c r="X29">
        <f>STANDARDIZE(Dataset!AT29,AVERAGE(Dataset!$AT$2:$AT$51),STDEV(Dataset!$AT$2:$AT$51))</f>
        <v>-0.11003690714148046</v>
      </c>
      <c r="Z29" s="9" t="s">
        <v>233</v>
      </c>
      <c r="AA29" s="96">
        <v>50</v>
      </c>
      <c r="AB29" s="31">
        <f>AVERAGE(Dataset!AR2:AR51)</f>
        <v>2.3757129079702128</v>
      </c>
      <c r="AC29" s="17">
        <f>MEDIAN(Dataset!AR2:AR51)</f>
        <v>1.7034546210914097</v>
      </c>
      <c r="AD29" s="17">
        <f>STDEV(Dataset!AR2:AR51)</f>
        <v>2.0045950876085543</v>
      </c>
      <c r="AE29" s="17">
        <f>MAX(Dataset!AR2:AR51)</f>
        <v>9.6083785597441249</v>
      </c>
      <c r="AF29" s="17">
        <f>MIN(Dataset!AR2:AR51)</f>
        <v>0.44122339170245906</v>
      </c>
      <c r="AH29" s="8" t="s">
        <v>99</v>
      </c>
      <c r="AI29" s="31">
        <f t="shared" si="0"/>
        <v>-0.33020570487144391</v>
      </c>
      <c r="AJ29" s="31">
        <f t="shared" si="1"/>
        <v>-0.15423089538140849</v>
      </c>
      <c r="AK29" s="31">
        <f t="shared" si="2"/>
        <v>0.38138659919796442</v>
      </c>
      <c r="AL29" s="31">
        <f t="shared" si="3"/>
        <v>5.1362006532692437</v>
      </c>
      <c r="AM29" s="31">
        <f t="shared" ref="AM29:AM41" si="6">SUM(O29:P29)</f>
        <v>-1.43058896314268</v>
      </c>
      <c r="AN29" s="31">
        <f t="shared" si="5"/>
        <v>0.37305139248879771</v>
      </c>
      <c r="AO29" s="31"/>
    </row>
    <row r="30" spans="1:41" ht="15.75" customHeight="1" x14ac:dyDescent="0.25">
      <c r="A30" t="s">
        <v>100</v>
      </c>
      <c r="B30" s="8" t="s">
        <v>101</v>
      </c>
      <c r="C30" s="8">
        <v>2015</v>
      </c>
      <c r="D30">
        <f>STANDARDIZE(Dataset!X30,'standardized values'!$AB$9,'standardized values'!$AD$9)</f>
        <v>-0.57072932714389568</v>
      </c>
      <c r="E30">
        <f>STANDARDIZE(Dataset!Y30,'standardized values'!$AB$10,'standardized values'!$AD$10)</f>
        <v>-0.60568768492994152</v>
      </c>
      <c r="F30">
        <f>STANDARDIZE(Dataset!Z30,'standardized values'!$AB$11,'standardized values'!$AD$11)</f>
        <v>-0.37206830625552784</v>
      </c>
      <c r="G30">
        <f>STANDARDIZE(Dataset!AA30,'standardized values'!$AB$12,'standardized values'!$AD$12)</f>
        <v>-0.33864605670122222</v>
      </c>
      <c r="H30">
        <f>STANDARDIZE(Dataset!AB30,'standardized values'!$AB$13,'standardized values'!$AD$13)</f>
        <v>-0.1080466791956375</v>
      </c>
      <c r="I30">
        <f>STANDARDIZE(Dataset!AC30,'standardized values'!$AB$14,'standardized values'!$AD$14)</f>
        <v>0.12006971362689066</v>
      </c>
      <c r="J30">
        <f>STANDARDIZE(Dataset!AK30,'standardized values'!$AB$20,'standardized values'!$AD$20)</f>
        <v>-0.50322723805164882</v>
      </c>
      <c r="K30">
        <f>STANDARDIZE(Dataset!AL30,'standardized values'!$AB$21,'standardized values'!$AD$21)</f>
        <v>-0.14388696277039142</v>
      </c>
      <c r="L30">
        <f>STANDARDIZE(Dataset!AM30,'standardized values'!$AB$22,'standardized values'!$AD$22)</f>
        <v>1.6619123934184006</v>
      </c>
      <c r="M30">
        <f>STANDARDIZE(Dataset!AN30,'standardized values'!$AB$23,'standardized values'!$AD$23)</f>
        <v>1.9068048849789696</v>
      </c>
      <c r="N30">
        <f>STANDARDIZE(Dataset!AO30,'standardized values'!$AB$24,'standardized values'!$AD$24)</f>
        <v>1.6903621367917112</v>
      </c>
      <c r="O30">
        <f>STANDARDIZE(Dataset!AP30,'standardized values'!$AB$27,'standardized values'!$AD$27)</f>
        <v>1.0085669695897652</v>
      </c>
      <c r="P30">
        <f>STANDARDIZE(Dataset!AQ30,'standardized values'!$AB$28,'standardized values'!$AD$28)</f>
        <v>-0.20089270662712719</v>
      </c>
      <c r="Q30">
        <f>STANDARDIZE(Dataset!AD30,'standardized values'!$AB$15,'standardized values'!$AD$15)</f>
        <v>-9.4169448614608298E-2</v>
      </c>
      <c r="R30">
        <f>STANDARDIZE(Dataset!AE30,'standardized values'!$AB$16,'standardized values'!$AD$16)</f>
        <v>-0.45343869487486349</v>
      </c>
      <c r="S30">
        <f>STANDARDIZE(Dataset!AF30,'standardized values'!$AB$17,'standardized values'!$AD$17)</f>
        <v>-1.6489465307147595</v>
      </c>
      <c r="T30">
        <f>STANDARDIZE(Dataset!AG30,'standardized values'!$AB$18,'standardized values'!$AD$18)</f>
        <v>-1.3010120333164854</v>
      </c>
      <c r="U30">
        <f>STANDARDIZE(Dataset!AH30,'standardized values'!$AB$19,'standardized values'!$AD$19)</f>
        <v>-1.0936748846695501</v>
      </c>
      <c r="V30">
        <f>STANDARDIZE(Dataset!AR30,AVERAGE(Dataset!$AR$2:$AR$51),STDEV(Dataset!$AR$2:$AR$51))</f>
        <v>-0.87678971449463239</v>
      </c>
      <c r="W30">
        <f>STANDARDIZE(Dataset!AS30,AVERAGE(Dataset!$AS$2:$AS$51),STDEV(Dataset!$AS$2:$AS$51))</f>
        <v>-0.79959953398335348</v>
      </c>
      <c r="X30">
        <f>STANDARDIZE(Dataset!AT30,AVERAGE(Dataset!$AT$2:$AT$51),STDEV(Dataset!$AT$2:$AT$51))</f>
        <v>-0.46077416315639708</v>
      </c>
      <c r="Z30" t="s">
        <v>235</v>
      </c>
      <c r="AA30" s="97">
        <v>50</v>
      </c>
      <c r="AB30" s="31">
        <f>AVERAGE(Dataset!AS2:AS51)</f>
        <v>3.409694609818978</v>
      </c>
      <c r="AC30" s="17">
        <f>MEDIAN(Dataset!AS2:AS51)</f>
        <v>2.4531143049988158</v>
      </c>
      <c r="AD30" s="17">
        <f>STDEV(Dataset!AS2:AS51)</f>
        <v>2.5625854741576859</v>
      </c>
      <c r="AE30" s="17">
        <f>MAX(Dataset!AS2:AS51)</f>
        <v>12.52060988162825</v>
      </c>
      <c r="AF30" s="17">
        <f>MIN(Dataset!AS2:AS51)</f>
        <v>0.96465868149657896</v>
      </c>
      <c r="AH30" s="8" t="s">
        <v>101</v>
      </c>
      <c r="AI30" s="31">
        <f t="shared" si="0"/>
        <v>-2.1371634116343827</v>
      </c>
      <c r="AJ30" s="31">
        <f t="shared" si="1"/>
        <v>-0.52704448719514962</v>
      </c>
      <c r="AK30" s="31">
        <f t="shared" si="2"/>
        <v>-0.44669273589685971</v>
      </c>
      <c r="AL30" s="31">
        <f t="shared" si="3"/>
        <v>5.2590794151890812</v>
      </c>
      <c r="AM30" s="31">
        <f t="shared" si="6"/>
        <v>0.807674262962638</v>
      </c>
      <c r="AN30" s="31">
        <f t="shared" si="5"/>
        <v>-0.35037873254027768</v>
      </c>
      <c r="AO30" s="31"/>
    </row>
    <row r="31" spans="1:41" s="8" customFormat="1" ht="15.75" customHeight="1" x14ac:dyDescent="0.25">
      <c r="A31" s="8" t="s">
        <v>102</v>
      </c>
      <c r="B31" s="8" t="s">
        <v>103</v>
      </c>
      <c r="C31" s="8">
        <v>2015</v>
      </c>
      <c r="D31">
        <f>STANDARDIZE(Dataset!X31,'standardized values'!$AB$9,'standardized values'!$AD$9)</f>
        <v>-0.50836631605464444</v>
      </c>
      <c r="E31">
        <f>STANDARDIZE(Dataset!Y31,'standardized values'!$AB$10,'standardized values'!$AD$10)</f>
        <v>-0.41212568471124267</v>
      </c>
      <c r="F31">
        <f>STANDARDIZE(Dataset!Z31,'standardized values'!$AB$11,'standardized values'!$AD$11)</f>
        <v>-0.47836288892509954</v>
      </c>
      <c r="G31">
        <f>STANDARDIZE(Dataset!AA31,'standardized values'!$AB$12,'standardized values'!$AD$12)</f>
        <v>-1.6870914865014339</v>
      </c>
      <c r="H31">
        <f>STANDARDIZE(Dataset!AB31,'standardized values'!$AB$13,'standardized values'!$AD$13)</f>
        <v>-0.86528790179055137</v>
      </c>
      <c r="I31">
        <f>STANDARDIZE(Dataset!AC31,'standardized values'!$AB$14,'standardized values'!$AD$14)</f>
        <v>-3.7583930867470059</v>
      </c>
      <c r="J31">
        <f>STANDARDIZE(Dataset!AK31,'standardized values'!$AB$20,'standardized values'!$AD$20)</f>
        <v>-0.92358796519479547</v>
      </c>
      <c r="K31">
        <f>STANDARDIZE(Dataset!AL31,'standardized values'!$AB$21,'standardized values'!$AD$21)</f>
        <v>-0.85851721581668761</v>
      </c>
      <c r="L31">
        <f>STANDARDIZE(Dataset!AM31,'standardized values'!$AB$22,'standardized values'!$AD$22)</f>
        <v>-0.18000688309771318</v>
      </c>
      <c r="M31">
        <f>STANDARDIZE(Dataset!AN31,'standardized values'!$AB$23,'standardized values'!$AD$23)</f>
        <v>0.52199534631824007</v>
      </c>
      <c r="N31">
        <f>STANDARDIZE(Dataset!AO31,'standardized values'!$AB$24,'standardized values'!$AD$24)</f>
        <v>-6.9494448918314342E-2</v>
      </c>
      <c r="O31">
        <f>STANDARDIZE(Dataset!AP31,'standardized values'!$AB$27,'standardized values'!$AD$27)</f>
        <v>-0.7540075722216435</v>
      </c>
      <c r="P31">
        <f>STANDARDIZE(Dataset!AQ31,'standardized values'!$AB$28,'standardized values'!$AD$28)</f>
        <v>-0.20612962011176145</v>
      </c>
      <c r="Q31">
        <f>STANDARDIZE(Dataset!AD31,'standardized values'!$AB$15,'standardized values'!$AD$15)</f>
        <v>4.0855864656309047</v>
      </c>
      <c r="R31">
        <f>STANDARDIZE(Dataset!AE31,'standardized values'!$AB$16,'standardized values'!$AD$16)</f>
        <v>3.2654736004673519</v>
      </c>
      <c r="S31">
        <f>STANDARDIZE(Dataset!AF31,'standardized values'!$AB$17,'standardized values'!$AD$17)</f>
        <v>-8.1367081746209186E-2</v>
      </c>
      <c r="T31">
        <f>STANDARDIZE(Dataset!AG31,'standardized values'!$AB$18,'standardized values'!$AD$18)</f>
        <v>-0.59631458142157212</v>
      </c>
      <c r="U31">
        <f>STANDARDIZE(Dataset!AH31,'standardized values'!$AB$19,'standardized values'!$AD$19)</f>
        <v>-0.16204778089542438</v>
      </c>
      <c r="V31">
        <f>STANDARDIZE(Dataset!AR31,AVERAGE(Dataset!$AR$2:$AR$51),STDEV(Dataset!$AR$2:$AR$51))</f>
        <v>-0.7645445342437206</v>
      </c>
      <c r="W31">
        <f>STANDARDIZE(Dataset!AS31,AVERAGE(Dataset!$AS$2:$AS$51),STDEV(Dataset!$AS$2:$AS$51))</f>
        <v>-0.51262138189168938</v>
      </c>
      <c r="X31">
        <f>STANDARDIZE(Dataset!AT31,AVERAGE(Dataset!$AT$2:$AT$51),STDEV(Dataset!$AT$2:$AT$51))</f>
        <v>-0.62336327683617998</v>
      </c>
      <c r="Y31"/>
      <c r="Z31" s="8" t="s">
        <v>234</v>
      </c>
      <c r="AA31" s="96">
        <v>50</v>
      </c>
      <c r="AB31" s="31">
        <f>AVERAGE(Dataset!AT2:AT51)</f>
        <v>3.6637217624512579</v>
      </c>
      <c r="AC31" s="31">
        <f>MEDIAN(Dataset!AT2:AT51)</f>
        <v>2.7652542429342217</v>
      </c>
      <c r="AD31" s="31">
        <f>STDEV(Dataset!AT2:AT51)</f>
        <v>2.500270108812169</v>
      </c>
      <c r="AE31" s="31">
        <f>MAX(Dataset!AT2:AT51)</f>
        <v>12.175876644583088</v>
      </c>
      <c r="AF31" s="31">
        <f>MIN(Dataset!AT2:AT51)</f>
        <v>1.1091158870001576</v>
      </c>
      <c r="AH31" s="8" t="s">
        <v>103</v>
      </c>
      <c r="AI31" s="31">
        <f t="shared" si="0"/>
        <v>-1.90052919297159</v>
      </c>
      <c r="AJ31" s="31">
        <f t="shared" si="1"/>
        <v>-5.5404982677584886</v>
      </c>
      <c r="AK31" s="31">
        <f t="shared" si="2"/>
        <v>-2.5523793882919854</v>
      </c>
      <c r="AL31" s="31">
        <f t="shared" si="3"/>
        <v>0.27249401430221254</v>
      </c>
      <c r="AM31" s="31">
        <f t="shared" si="6"/>
        <v>-0.960137192333405</v>
      </c>
      <c r="AN31" s="31">
        <f t="shared" si="5"/>
        <v>-2.1813321480212196</v>
      </c>
      <c r="AO31" s="31"/>
    </row>
    <row r="32" spans="1:41" s="8" customFormat="1" ht="15.75" customHeight="1" x14ac:dyDescent="0.25">
      <c r="A32" s="8" t="s">
        <v>104</v>
      </c>
      <c r="B32" s="8" t="s">
        <v>105</v>
      </c>
      <c r="C32" s="8">
        <v>2015</v>
      </c>
      <c r="D32">
        <f>STANDARDIZE(Dataset!X32,'standardized values'!$AB$9,'standardized values'!$AD$9)</f>
        <v>-0.33614909457437225</v>
      </c>
      <c r="E32">
        <f>STANDARDIZE(Dataset!Y32,'standardized values'!$AB$10,'standardized values'!$AD$10)</f>
        <v>-0.44112136353821113</v>
      </c>
      <c r="F32">
        <f>STANDARDIZE(Dataset!Z32,'standardized values'!$AB$11,'standardized values'!$AD$11)</f>
        <v>-0.39983227541223926</v>
      </c>
      <c r="G32">
        <f>STANDARDIZE(Dataset!AA32,'standardized values'!$AB$12,'standardized values'!$AD$12)</f>
        <v>4.5644356718032381E-2</v>
      </c>
      <c r="H32">
        <f>STANDARDIZE(Dataset!AB32,'standardized values'!$AB$13,'standardized values'!$AD$13)</f>
        <v>0.24326104844020907</v>
      </c>
      <c r="I32">
        <f>STANDARDIZE(Dataset!AC32,'standardized values'!$AB$14,'standardized values'!$AD$14)</f>
        <v>0.96372170247285727</v>
      </c>
      <c r="J32">
        <f>STANDARDIZE(Dataset!AK32,'standardized values'!$AB$20,'standardized values'!$AD$20)</f>
        <v>0.36862106881206486</v>
      </c>
      <c r="K32">
        <f>STANDARDIZE(Dataset!AL32,'standardized values'!$AB$21,'standardized values'!$AD$21)</f>
        <v>-0.38588796347448617</v>
      </c>
      <c r="L32">
        <f>STANDARDIZE(Dataset!AM32,'standardized values'!$AB$22,'standardized values'!$AD$22)</f>
        <v>-0.63444808636767724</v>
      </c>
      <c r="M32">
        <f>STANDARDIZE(Dataset!AN32,'standardized values'!$AB$23,'standardized values'!$AD$23)</f>
        <v>-2.0292069374660939</v>
      </c>
      <c r="N32">
        <f>STANDARDIZE(Dataset!AO32,'standardized values'!$AB$24,'standardized values'!$AD$24)</f>
        <v>-1.9508566586726308</v>
      </c>
      <c r="O32">
        <f>STANDARDIZE(Dataset!AP32,'standardized values'!$AB$27,'standardized values'!$AD$27)</f>
        <v>-1.5107924174290448</v>
      </c>
      <c r="P32">
        <f>STANDARDIZE(Dataset!AQ32,'standardized values'!$AB$28,'standardized values'!$AD$28)</f>
        <v>-0.20284600929358962</v>
      </c>
      <c r="Q32">
        <f>STANDARDIZE(Dataset!AD32,'standardized values'!$AB$15,'standardized values'!$AD$15)</f>
        <v>-0.56790576625986511</v>
      </c>
      <c r="R32">
        <f>STANDARDIZE(Dataset!AE32,'standardized values'!$AB$16,'standardized values'!$AD$16)</f>
        <v>-0.18757227745117444</v>
      </c>
      <c r="S32">
        <f>STANDARDIZE(Dataset!AF32,'standardized values'!$AB$17,'standardized values'!$AD$17)</f>
        <v>1.0043676248323516</v>
      </c>
      <c r="T32">
        <f>STANDARDIZE(Dataset!AG32,'standardized values'!$AB$18,'standardized values'!$AD$18)</f>
        <v>2.9058473974664878</v>
      </c>
      <c r="U32">
        <f>STANDARDIZE(Dataset!AH32,'standardized values'!$AB$19,'standardized values'!$AD$19)</f>
        <v>2.4503802142952846</v>
      </c>
      <c r="V32">
        <f>STANDARDIZE(Dataset!AR32,AVERAGE(Dataset!$AR$2:$AR$51),STDEV(Dataset!$AR$2:$AR$51))</f>
        <v>-0.45457628977105874</v>
      </c>
      <c r="W32">
        <f>STANDARDIZE(Dataset!AS32,AVERAGE(Dataset!$AS$2:$AS$51),STDEV(Dataset!$AS$2:$AS$51))</f>
        <v>-0.55561084428102736</v>
      </c>
      <c r="X32">
        <f>STANDARDIZE(Dataset!AT32,AVERAGE(Dataset!$AT$2:$AT$51),STDEV(Dataset!$AT$2:$AT$51))</f>
        <v>-0.5032421706884006</v>
      </c>
      <c r="Y32"/>
      <c r="AB32" s="31"/>
      <c r="AC32" s="31"/>
      <c r="AD32" s="31"/>
      <c r="AE32" s="31"/>
      <c r="AF32" s="31"/>
      <c r="AH32" s="8" t="s">
        <v>105</v>
      </c>
      <c r="AI32" s="31">
        <f t="shared" si="0"/>
        <v>-1.5134293047404865</v>
      </c>
      <c r="AJ32" s="31">
        <f t="shared" si="1"/>
        <v>0.94645480781043589</v>
      </c>
      <c r="AK32" s="31">
        <f t="shared" si="2"/>
        <v>0.28890540515824148</v>
      </c>
      <c r="AL32" s="31">
        <f t="shared" si="3"/>
        <v>-4.6145116825064019</v>
      </c>
      <c r="AM32" s="31">
        <f t="shared" si="6"/>
        <v>-1.7136384267226343</v>
      </c>
      <c r="AN32" s="31">
        <f t="shared" si="5"/>
        <v>-0.96675289499564565</v>
      </c>
      <c r="AO32" s="31"/>
    </row>
    <row r="33" spans="1:41" s="8" customFormat="1" ht="15.75" customHeight="1" x14ac:dyDescent="0.25">
      <c r="A33" s="8" t="s">
        <v>106</v>
      </c>
      <c r="B33" s="8" t="s">
        <v>107</v>
      </c>
      <c r="C33" s="8">
        <v>2015</v>
      </c>
      <c r="D33">
        <f>STANDARDIZE(Dataset!X33,'standardized values'!$AB$9,'standardized values'!$AD$9)</f>
        <v>-0.52306171229767329</v>
      </c>
      <c r="E33">
        <f>STANDARDIZE(Dataset!Y33,'standardized values'!$AB$10,'standardized values'!$AD$10)</f>
        <v>-0.50313935157200462</v>
      </c>
      <c r="F33">
        <f>STANDARDIZE(Dataset!Z33,'standardized values'!$AB$11,'standardized values'!$AD$11)</f>
        <v>-0.56749189643420017</v>
      </c>
      <c r="G33">
        <f>STANDARDIZE(Dataset!AA33,'standardized values'!$AB$12,'standardized values'!$AD$12)</f>
        <v>4.2371237208777855E-2</v>
      </c>
      <c r="H33">
        <f>STANDARDIZE(Dataset!AB33,'standardized values'!$AB$13,'standardized values'!$AD$13)</f>
        <v>0.17730405325280749</v>
      </c>
      <c r="I33">
        <f>STANDARDIZE(Dataset!AC33,'standardized values'!$AB$14,'standardized values'!$AD$14)</f>
        <v>-9.283044902740728E-2</v>
      </c>
      <c r="J33">
        <f>STANDARDIZE(Dataset!AK33,'standardized values'!$AB$20,'standardized values'!$AD$20)</f>
        <v>-0.51670044667227677</v>
      </c>
      <c r="K33">
        <f>STANDARDIZE(Dataset!AL33,'standardized values'!$AB$21,'standardized values'!$AD$21)</f>
        <v>-0.4964675555254397</v>
      </c>
      <c r="L33">
        <f>STANDARDIZE(Dataset!AM33,'standardized values'!$AB$22,'standardized values'!$AD$22)</f>
        <v>-0.34448105332790785</v>
      </c>
      <c r="M33">
        <f>STANDARDIZE(Dataset!AN33,'standardized values'!$AB$23,'standardized values'!$AD$23)</f>
        <v>-0.53912856168236523</v>
      </c>
      <c r="N33">
        <f>STANDARDIZE(Dataset!AO33,'standardized values'!$AB$24,'standardized values'!$AD$24)</f>
        <v>-0.5099277536637663</v>
      </c>
      <c r="O33">
        <f>STANDARDIZE(Dataset!AP33,'standardized values'!$AB$27,'standardized values'!$AD$27)</f>
        <v>0.30092528657665424</v>
      </c>
      <c r="P33">
        <f>STANDARDIZE(Dataset!AQ33,'standardized values'!$AB$28,'standardized values'!$AD$28)</f>
        <v>-0.20462255520033096</v>
      </c>
      <c r="Q33">
        <f>STANDARDIZE(Dataset!AD33,'standardized values'!$AB$15,'standardized values'!$AD$15)</f>
        <v>-7.3390064686824422E-2</v>
      </c>
      <c r="R33">
        <f>STANDARDIZE(Dataset!AE33,'standardized values'!$AB$16,'standardized values'!$AD$16)</f>
        <v>2.1590236230049947E-2</v>
      </c>
      <c r="S33">
        <f>STANDARDIZE(Dataset!AF33,'standardized values'!$AB$17,'standardized values'!$AD$17)</f>
        <v>0.23857461064742019</v>
      </c>
      <c r="T33">
        <f>STANDARDIZE(Dataset!AG33,'standardized values'!$AB$18,'standardized values'!$AD$18)</f>
        <v>0.29044601197805214</v>
      </c>
      <c r="U33">
        <f>STANDARDIZE(Dataset!AH33,'standardized values'!$AB$19,'standardized values'!$AD$19)</f>
        <v>0.21034671970653973</v>
      </c>
      <c r="V33">
        <f>STANDARDIZE(Dataset!AR33,AVERAGE(Dataset!$AR$2:$AR$51),STDEV(Dataset!$AR$2:$AR$51))</f>
        <v>-0.79099430585267427</v>
      </c>
      <c r="W33">
        <f>STANDARDIZE(Dataset!AS33,AVERAGE(Dataset!$AS$2:$AS$51),STDEV(Dataset!$AS$2:$AS$51))</f>
        <v>-0.64755971638542742</v>
      </c>
      <c r="X33">
        <f>STANDARDIZE(Dataset!AT33,AVERAGE(Dataset!$AT$2:$AT$51),STDEV(Dataset!$AT$2:$AT$51))</f>
        <v>-0.75969577817457368</v>
      </c>
      <c r="Y33"/>
      <c r="AB33" s="31"/>
      <c r="AC33" s="31"/>
      <c r="AD33" s="31"/>
      <c r="AE33" s="31"/>
      <c r="AF33" s="31"/>
      <c r="AH33" s="8" t="s">
        <v>107</v>
      </c>
      <c r="AI33" s="31">
        <f t="shared" si="0"/>
        <v>-2.1982498004126754</v>
      </c>
      <c r="AJ33" s="31">
        <f t="shared" si="1"/>
        <v>-1.1059984512251237</v>
      </c>
      <c r="AK33" s="31">
        <f t="shared" si="2"/>
        <v>0.21967529046158535</v>
      </c>
      <c r="AL33" s="31">
        <f t="shared" si="3"/>
        <v>-1.3935373686740393</v>
      </c>
      <c r="AM33" s="31">
        <f t="shared" si="6"/>
        <v>9.6302731376323281E-2</v>
      </c>
      <c r="AN33" s="31">
        <f t="shared" si="5"/>
        <v>-0.93282438733516548</v>
      </c>
      <c r="AO33" s="31"/>
    </row>
    <row r="34" spans="1:41" s="8" customFormat="1" ht="15.75" customHeight="1" x14ac:dyDescent="0.25">
      <c r="A34" s="8" t="s">
        <v>108</v>
      </c>
      <c r="B34" s="8" t="s">
        <v>109</v>
      </c>
      <c r="C34" s="8">
        <v>2015</v>
      </c>
      <c r="D34">
        <f>STANDARDIZE(Dataset!X34,'standardized values'!$AB$9,'standardized values'!$AD$9)</f>
        <v>-0.3884190964504774</v>
      </c>
      <c r="E34">
        <f>STANDARDIZE(Dataset!Y34,'standardized values'!$AB$10,'standardized values'!$AD$10)</f>
        <v>-0.36841153651302083</v>
      </c>
      <c r="F34">
        <f>STANDARDIZE(Dataset!Z34,'standardized values'!$AB$11,'standardized values'!$AD$11)</f>
        <v>-0.38608662539550054</v>
      </c>
      <c r="G34">
        <f>STANDARDIZE(Dataset!AA34,'standardized values'!$AB$12,'standardized values'!$AD$12)</f>
        <v>1.0757659151910546</v>
      </c>
      <c r="H34">
        <f>STANDARDIZE(Dataset!AB34,'standardized values'!$AB$13,'standardized values'!$AD$13)</f>
        <v>0.35814617223274481</v>
      </c>
      <c r="I34">
        <f>STANDARDIZE(Dataset!AC34,'standardized values'!$AB$14,'standardized values'!$AD$14)</f>
        <v>0.27918846725235047</v>
      </c>
      <c r="J34">
        <f>STANDARDIZE(Dataset!AK34,'standardized values'!$AB$20,'standardized values'!$AD$20)</f>
        <v>0.61300849477417052</v>
      </c>
      <c r="K34">
        <f>STANDARDIZE(Dataset!AL34,'standardized values'!$AB$21,'standardized values'!$AD$21)</f>
        <v>1.0854130692807082</v>
      </c>
      <c r="L34">
        <f>STANDARDIZE(Dataset!AM34,'standardized values'!$AB$22,'standardized values'!$AD$22)</f>
        <v>-0.22190215859513093</v>
      </c>
      <c r="M34">
        <f>STANDARDIZE(Dataset!AN34,'standardized values'!$AB$23,'standardized values'!$AD$23)</f>
        <v>0.36054098254282935</v>
      </c>
      <c r="N34">
        <f>STANDARDIZE(Dataset!AO34,'standardized values'!$AB$24,'standardized values'!$AD$24)</f>
        <v>0.69896345901450152</v>
      </c>
      <c r="O34">
        <f>STANDARDIZE(Dataset!AP34,'standardized values'!$AB$27,'standardized values'!$AD$27)</f>
        <v>1.1920594695343976</v>
      </c>
      <c r="P34">
        <f>STANDARDIZE(Dataset!AQ34,'standardized values'!$AB$28,'standardized values'!$AD$28)</f>
        <v>-0.20446827686775462</v>
      </c>
      <c r="Q34">
        <f>STANDARDIZE(Dataset!AD34,'standardized values'!$AB$15,'standardized values'!$AD$15)</f>
        <v>-0.60870538272376784</v>
      </c>
      <c r="R34">
        <f>STANDARDIZE(Dataset!AE34,'standardized values'!$AB$16,'standardized values'!$AD$16)</f>
        <v>-0.84423734514586135</v>
      </c>
      <c r="S34">
        <f>STANDARDIZE(Dataset!AF34,'standardized values'!$AB$17,'standardized values'!$AD$17)</f>
        <v>-5.8058441574051906E-3</v>
      </c>
      <c r="T34">
        <f>STANDARDIZE(Dataset!AG34,'standardized values'!$AB$18,'standardized values'!$AD$18)</f>
        <v>-0.48717178944641454</v>
      </c>
      <c r="U34">
        <f>STANDARDIZE(Dataset!AH34,'standardized values'!$AB$19,'standardized values'!$AD$19)</f>
        <v>-0.65127198590428481</v>
      </c>
      <c r="V34">
        <f>STANDARDIZE(Dataset!AR34,AVERAGE(Dataset!$AR$2:$AR$51),STDEV(Dataset!$AR$2:$AR$51))</f>
        <v>-0.54865538697664817</v>
      </c>
      <c r="W34">
        <f>STANDARDIZE(Dataset!AS34,AVERAGE(Dataset!$AS$2:$AS$51),STDEV(Dataset!$AS$2:$AS$51))</f>
        <v>-0.4478100787639438</v>
      </c>
      <c r="X34">
        <f>STANDARDIZE(Dataset!AT34,AVERAGE(Dataset!$AT$2:$AT$51),STDEV(Dataset!$AT$2:$AT$51))</f>
        <v>-0.48221670544788636</v>
      </c>
      <c r="Y34"/>
      <c r="AB34" s="31"/>
      <c r="AC34" s="31"/>
      <c r="AD34" s="31"/>
      <c r="AE34" s="31"/>
      <c r="AF34" s="31"/>
      <c r="AH34" s="8" t="s">
        <v>109</v>
      </c>
      <c r="AI34" s="31">
        <f t="shared" si="0"/>
        <v>-1.4786821711884783</v>
      </c>
      <c r="AJ34" s="31">
        <f t="shared" ref="AJ34:AJ51" si="7">SUM(I34:K34)</f>
        <v>1.9776100313072291</v>
      </c>
      <c r="AK34" s="31">
        <f t="shared" ref="AK34:AK51" si="8">SUM(G34:H34)</f>
        <v>1.4339120874237994</v>
      </c>
      <c r="AL34" s="31">
        <f t="shared" ref="AL34:AL51" si="9">SUM(L34:N34)</f>
        <v>0.83760228296219996</v>
      </c>
      <c r="AM34" s="31">
        <f t="shared" si="6"/>
        <v>0.98759119266664297</v>
      </c>
      <c r="AN34" s="31">
        <f t="shared" ref="AN34:AN51" si="10">(AI34*$AA$2)+(AJ34*$AB$2)+(AK34*$AC$2)+(AL34*$AD$2)+(AM34*$AE$2)</f>
        <v>0.36461082137596956</v>
      </c>
      <c r="AO34" s="31"/>
    </row>
    <row r="35" spans="1:41" s="8" customFormat="1" x14ac:dyDescent="0.25">
      <c r="A35" s="8" t="s">
        <v>110</v>
      </c>
      <c r="B35" s="8" t="s">
        <v>111</v>
      </c>
      <c r="C35" s="8">
        <v>2015</v>
      </c>
      <c r="D35">
        <f>STANDARDIZE(Dataset!X35,'standardized values'!$AB$9,'standardized values'!$AD$9)</f>
        <v>0.61821213554928167</v>
      </c>
      <c r="E35">
        <f>STANDARDIZE(Dataset!Y35,'standardized values'!$AB$10,'standardized values'!$AD$10)</f>
        <v>0.99219887281137353</v>
      </c>
      <c r="F35">
        <f>STANDARDIZE(Dataset!Z35,'standardized values'!$AB$11,'standardized values'!$AD$11)</f>
        <v>0.92812788237026256</v>
      </c>
      <c r="G35">
        <f>STANDARDIZE(Dataset!AA35,'standardized values'!$AB$12,'standardized values'!$AD$12)</f>
        <v>3.0999818084382356</v>
      </c>
      <c r="H35">
        <f>STANDARDIZE(Dataset!AB35,'standardized values'!$AB$13,'standardized values'!$AD$13)</f>
        <v>2.7805005899905879</v>
      </c>
      <c r="I35">
        <f>STANDARDIZE(Dataset!AC35,'standardized values'!$AB$14,'standardized values'!$AD$14)</f>
        <v>1.0390702937860015</v>
      </c>
      <c r="J35">
        <f>STANDARDIZE(Dataset!AK35,'standardized values'!$AB$20,'standardized values'!$AD$20)</f>
        <v>1.0597098253526258</v>
      </c>
      <c r="K35">
        <f>STANDARDIZE(Dataset!AL35,'standardized values'!$AB$21,'standardized values'!$AD$21)</f>
        <v>-0.50342843383893743</v>
      </c>
      <c r="L35">
        <f>STANDARDIZE(Dataset!AM35,'standardized values'!$AB$22,'standardized values'!$AD$22)</f>
        <v>-1.1445820142875771</v>
      </c>
      <c r="M35">
        <f>STANDARDIZE(Dataset!AN35,'standardized values'!$AB$23,'standardized values'!$AD$23)</f>
        <v>-2.0936350145244784</v>
      </c>
      <c r="N35">
        <f>STANDARDIZE(Dataset!AO35,'standardized values'!$AB$24,'standardized values'!$AD$24)</f>
        <v>-1.534099032079586</v>
      </c>
      <c r="O35">
        <f>STANDARDIZE(Dataset!AP35,'standardized values'!$AB$27,'standardized values'!$AD$27)</f>
        <v>0.8999799613484496</v>
      </c>
      <c r="P35">
        <f>STANDARDIZE(Dataset!AQ35,'standardized values'!$AB$28,'standardized values'!$AD$28)</f>
        <v>1.2074834911214158</v>
      </c>
      <c r="Q35">
        <f>STANDARDIZE(Dataset!AD35,'standardized values'!$AB$15,'standardized values'!$AD$15)</f>
        <v>-0.65823772974359629</v>
      </c>
      <c r="R35">
        <f>STANDARDIZE(Dataset!AE35,'standardized values'!$AB$16,'standardized values'!$AD$16)</f>
        <v>3.797049944138399E-2</v>
      </c>
      <c r="S35">
        <f>STANDARDIZE(Dataset!AF35,'standardized values'!$AB$17,'standardized values'!$AD$17)</f>
        <v>3.7690572456465792</v>
      </c>
      <c r="T35">
        <f>STANDARDIZE(Dataset!AG35,'standardized values'!$AB$18,'standardized values'!$AD$18)</f>
        <v>3.0969182488287186</v>
      </c>
      <c r="U35">
        <f>STANDARDIZE(Dataset!AH35,'standardized values'!$AB$19,'standardized values'!$AD$19)</f>
        <v>1.5530654459764766</v>
      </c>
      <c r="V35">
        <f>STANDARDIZE(Dataset!AR35,AVERAGE(Dataset!$AR$2:$AR$51),STDEV(Dataset!$AR$2:$AR$51))</f>
        <v>1.2631478295214245</v>
      </c>
      <c r="W35">
        <f>STANDARDIZE(Dataset!AS35,AVERAGE(Dataset!$AS$2:$AS$51),STDEV(Dataset!$AS$2:$AS$51))</f>
        <v>1.56945291987951</v>
      </c>
      <c r="X35">
        <f>STANDARDIZE(Dataset!AT35,AVERAGE(Dataset!$AT$2:$AT$51),STDEV(Dataset!$AT$2:$AT$51))</f>
        <v>1.5280171807604608</v>
      </c>
      <c r="Y35"/>
      <c r="AH35" s="8" t="s">
        <v>111</v>
      </c>
      <c r="AI35" s="31">
        <f t="shared" si="0"/>
        <v>4.3606179301613954</v>
      </c>
      <c r="AJ35" s="31">
        <f t="shared" si="7"/>
        <v>1.5953516852996901</v>
      </c>
      <c r="AK35" s="31">
        <f t="shared" si="8"/>
        <v>5.880482398428823</v>
      </c>
      <c r="AL35" s="31">
        <f t="shared" si="9"/>
        <v>-4.772316060891642</v>
      </c>
      <c r="AM35" s="31">
        <f t="shared" si="6"/>
        <v>2.1074634524698652</v>
      </c>
      <c r="AN35" s="31">
        <f t="shared" si="10"/>
        <v>3.4774350226943676</v>
      </c>
      <c r="AO35" s="31"/>
    </row>
    <row r="36" spans="1:41" s="8" customFormat="1" ht="15.75" customHeight="1" x14ac:dyDescent="0.25">
      <c r="A36" s="8" t="s">
        <v>112</v>
      </c>
      <c r="B36" s="8" t="s">
        <v>113</v>
      </c>
      <c r="C36" s="8">
        <v>2015</v>
      </c>
      <c r="D36">
        <f>STANDARDIZE(Dataset!X36,'standardized values'!$AB$9,'standardized values'!$AD$9)</f>
        <v>0.37389974151696509</v>
      </c>
      <c r="E36">
        <f>STANDARDIZE(Dataset!Y36,'standardized values'!$AB$10,'standardized values'!$AD$10)</f>
        <v>0.36966391023495532</v>
      </c>
      <c r="F36">
        <f>STANDARDIZE(Dataset!Z36,'standardized values'!$AB$11,'standardized values'!$AD$11)</f>
        <v>0.38752852552924205</v>
      </c>
      <c r="G36">
        <f>STANDARDIZE(Dataset!AA36,'standardized values'!$AB$12,'standardized values'!$AD$12)</f>
        <v>-0.33921212636874054</v>
      </c>
      <c r="H36">
        <f>STANDARDIZE(Dataset!AB36,'standardized values'!$AB$13,'standardized values'!$AD$13)</f>
        <v>-6.5848900535064842E-2</v>
      </c>
      <c r="I36">
        <f>STANDARDIZE(Dataset!AC36,'standardized values'!$AB$14,'standardized values'!$AD$14)</f>
        <v>0.32746312992251786</v>
      </c>
      <c r="J36">
        <f>STANDARDIZE(Dataset!AK36,'standardized values'!$AB$20,'standardized values'!$AD$20)</f>
        <v>-0.50753610886149436</v>
      </c>
      <c r="K36">
        <f>STANDARDIZE(Dataset!AL36,'standardized values'!$AB$21,'standardized values'!$AD$21)</f>
        <v>-0.39730852320626076</v>
      </c>
      <c r="L36">
        <f>STANDARDIZE(Dataset!AM36,'standardized values'!$AB$22,'standardized values'!$AD$22)</f>
        <v>6.8932736686900892E-2</v>
      </c>
      <c r="M36">
        <f>STANDARDIZE(Dataset!AN36,'standardized values'!$AB$23,'standardized values'!$AD$23)</f>
        <v>6.1584336529572098E-2</v>
      </c>
      <c r="N36">
        <f>STANDARDIZE(Dataset!AO36,'standardized values'!$AB$24,'standardized values'!$AD$24)</f>
        <v>-4.5898607323095489E-2</v>
      </c>
      <c r="O36">
        <f>STANDARDIZE(Dataset!AP36,'standardized values'!$AB$27,'standardized values'!$AD$27)</f>
        <v>-1.4526763666016802</v>
      </c>
      <c r="P36">
        <f>STANDARDIZE(Dataset!AQ36,'standardized values'!$AB$28,'standardized values'!$AD$28)</f>
        <v>-0.20111701255783365</v>
      </c>
      <c r="Q36">
        <f>STANDARDIZE(Dataset!AD36,'standardized values'!$AB$15,'standardized values'!$AD$15)</f>
        <v>-8.7648086223368796E-2</v>
      </c>
      <c r="R36">
        <f>STANDARDIZE(Dataset!AE36,'standardized values'!$AB$16,'standardized values'!$AD$16)</f>
        <v>-0.16961503542391942</v>
      </c>
      <c r="S36">
        <f>STANDARDIZE(Dataset!AF36,'standardized values'!$AB$17,'standardized values'!$AD$17)</f>
        <v>-0.46419825024571715</v>
      </c>
      <c r="T36">
        <f>STANDARDIZE(Dataset!AG36,'standardized values'!$AB$18,'standardized values'!$AD$18)</f>
        <v>-0.26397574034928289</v>
      </c>
      <c r="U36">
        <f>STANDARDIZE(Dataset!AH36,'standardized values'!$AB$19,'standardized values'!$AD$19)</f>
        <v>-0.17976686372063139</v>
      </c>
      <c r="V36">
        <f>STANDARDIZE(Dataset!AR36,AVERAGE(Dataset!$AR$2:$AR$51),STDEV(Dataset!$AR$2:$AR$51))</f>
        <v>0.82341780002617249</v>
      </c>
      <c r="W36">
        <f>STANDARDIZE(Dataset!AS36,AVERAGE(Dataset!$AS$2:$AS$51),STDEV(Dataset!$AS$2:$AS$51))</f>
        <v>0.64647251581890441</v>
      </c>
      <c r="X36">
        <f>STANDARDIZE(Dataset!AT36,AVERAGE(Dataset!$AT$2:$AT$51),STDEV(Dataset!$AT$2:$AT$51))</f>
        <v>0.70111172540084798</v>
      </c>
      <c r="Y36"/>
      <c r="AH36" s="8" t="s">
        <v>113</v>
      </c>
      <c r="AI36" s="31">
        <f t="shared" si="0"/>
        <v>2.171002041245925</v>
      </c>
      <c r="AJ36" s="31">
        <f t="shared" si="7"/>
        <v>-0.57738150214523731</v>
      </c>
      <c r="AK36" s="31">
        <f t="shared" si="8"/>
        <v>-0.40506102690380541</v>
      </c>
      <c r="AL36" s="31">
        <f t="shared" si="9"/>
        <v>8.4618465893377501E-2</v>
      </c>
      <c r="AM36" s="31">
        <f t="shared" si="6"/>
        <v>-1.6537933791595139</v>
      </c>
      <c r="AN36" s="31">
        <f t="shared" si="10"/>
        <v>0.4034237134786044</v>
      </c>
      <c r="AO36" s="31"/>
    </row>
    <row r="37" spans="1:41" s="8" customFormat="1" ht="15.75" customHeight="1" x14ac:dyDescent="0.25">
      <c r="A37" s="8" t="s">
        <v>114</v>
      </c>
      <c r="B37" s="8" t="s">
        <v>115</v>
      </c>
      <c r="C37" s="8">
        <v>2015</v>
      </c>
      <c r="D37">
        <f>STANDARDIZE(Dataset!X37,'standardized values'!$AB$9,'standardized values'!$AD$9)</f>
        <v>0.12951311199710189</v>
      </c>
      <c r="E37">
        <f>STANDARDIZE(Dataset!Y37,'standardized values'!$AB$10,'standardized values'!$AD$10)</f>
        <v>2.7441041497460471E-2</v>
      </c>
      <c r="F37">
        <f>STANDARDIZE(Dataset!Z37,'standardized values'!$AB$11,'standardized values'!$AD$11)</f>
        <v>-2.8121428524156469E-2</v>
      </c>
      <c r="G37">
        <f>STANDARDIZE(Dataset!AA37,'standardized values'!$AB$12,'standardized values'!$AD$12)</f>
        <v>0.49826709382386292</v>
      </c>
      <c r="H37">
        <f>STANDARDIZE(Dataset!AB37,'standardized values'!$AB$13,'standardized values'!$AD$13)</f>
        <v>0.19622545585260864</v>
      </c>
      <c r="I37">
        <f>STANDARDIZE(Dataset!AC37,'standardized values'!$AB$14,'standardized values'!$AD$14)</f>
        <v>0.73208638250595581</v>
      </c>
      <c r="J37">
        <f>STANDARDIZE(Dataset!AK37,'standardized values'!$AB$20,'standardized values'!$AD$20)</f>
        <v>1.6139650173815541</v>
      </c>
      <c r="K37">
        <f>STANDARDIZE(Dataset!AL37,'standardized values'!$AB$21,'standardized values'!$AD$21)</f>
        <v>2.5002168683530446</v>
      </c>
      <c r="L37">
        <f>STANDARDIZE(Dataset!AM37,'standardized values'!$AB$22,'standardized values'!$AD$22)</f>
        <v>7.4625702797740806E-2</v>
      </c>
      <c r="M37">
        <f>STANDARDIZE(Dataset!AN37,'standardized values'!$AB$23,'standardized values'!$AD$23)</f>
        <v>0.74809347820794247</v>
      </c>
      <c r="N37">
        <f>STANDARDIZE(Dataset!AO37,'standardized values'!$AB$24,'standardized values'!$AD$24)</f>
        <v>0.89695516455789082</v>
      </c>
      <c r="O37">
        <f>STANDARDIZE(Dataset!AP37,'standardized values'!$AB$27,'standardized values'!$AD$27)</f>
        <v>0.28004181564742686</v>
      </c>
      <c r="P37">
        <f>STANDARDIZE(Dataset!AQ37,'standardized values'!$AB$28,'standardized values'!$AD$28)</f>
        <v>6.6283633271220284</v>
      </c>
      <c r="Q37">
        <f>STANDARDIZE(Dataset!AD37,'standardized values'!$AB$15,'standardized values'!$AD$15)</f>
        <v>-0.69614664754282118</v>
      </c>
      <c r="R37">
        <f>STANDARDIZE(Dataset!AE37,'standardized values'!$AB$16,'standardized values'!$AD$16)</f>
        <v>-0.95278345431240186</v>
      </c>
      <c r="S37">
        <f>STANDARDIZE(Dataset!AF37,'standardized values'!$AB$17,'standardized values'!$AD$17)</f>
        <v>-0.47182708236443155</v>
      </c>
      <c r="T37">
        <f>STANDARDIZE(Dataset!AG37,'standardized values'!$AB$18,'standardized values'!$AD$18)</f>
        <v>-0.73753243740975827</v>
      </c>
      <c r="U37">
        <f>STANDARDIZE(Dataset!AH37,'standardized values'!$AB$19,'standardized values'!$AD$19)</f>
        <v>-0.75339258575673618</v>
      </c>
      <c r="V37">
        <f>STANDARDIZE(Dataset!AR37,AVERAGE(Dataset!$AR$2:$AR$51),STDEV(Dataset!$AR$2:$AR$51))</f>
        <v>0.38355415646169699</v>
      </c>
      <c r="W37">
        <f>STANDARDIZE(Dataset!AS37,AVERAGE(Dataset!$AS$2:$AS$51),STDEV(Dataset!$AS$2:$AS$51))</f>
        <v>0.13908735570054526</v>
      </c>
      <c r="X37">
        <f>STANDARDIZE(Dataset!AT37,AVERAGE(Dataset!$AT$2:$AT$51),STDEV(Dataset!$AT$2:$AT$51))</f>
        <v>6.532995803961919E-2</v>
      </c>
      <c r="Y37"/>
      <c r="AH37" s="8" t="s">
        <v>115</v>
      </c>
      <c r="AI37" s="31">
        <f t="shared" si="0"/>
        <v>0.58797147020186147</v>
      </c>
      <c r="AJ37" s="31">
        <f t="shared" si="7"/>
        <v>4.8462682682405545</v>
      </c>
      <c r="AK37" s="31">
        <f t="shared" si="8"/>
        <v>0.69449254967647156</v>
      </c>
      <c r="AL37" s="31">
        <f t="shared" si="9"/>
        <v>1.7196743455635741</v>
      </c>
      <c r="AM37" s="31">
        <f t="shared" si="6"/>
        <v>6.9084051427694551</v>
      </c>
      <c r="AN37" s="31">
        <f t="shared" si="10"/>
        <v>1.7962971826147749</v>
      </c>
      <c r="AO37" s="31"/>
    </row>
    <row r="38" spans="1:41" s="8" customFormat="1" ht="15.75" customHeight="1" x14ac:dyDescent="0.25">
      <c r="A38" s="8" t="s">
        <v>116</v>
      </c>
      <c r="B38" s="8" t="s">
        <v>117</v>
      </c>
      <c r="C38" s="8">
        <v>2015</v>
      </c>
      <c r="D38">
        <f>STANDARDIZE(Dataset!X38,'standardized values'!$AB$9,'standardized values'!$AD$9)</f>
        <v>8.1346661339563101E-3</v>
      </c>
      <c r="E38">
        <f>STANDARDIZE(Dataset!Y38,'standardized values'!$AB$10,'standardized values'!$AD$10)</f>
        <v>-8.276427102781303E-2</v>
      </c>
      <c r="F38">
        <f>STANDARDIZE(Dataset!Z38,'standardized values'!$AB$11,'standardized values'!$AD$11)</f>
        <v>-8.9640061275996386E-2</v>
      </c>
      <c r="G38">
        <f>STANDARDIZE(Dataset!AA38,'standardized values'!$AB$12,'standardized values'!$AD$12)</f>
        <v>0.60255810599901383</v>
      </c>
      <c r="H38">
        <f>STANDARDIZE(Dataset!AB38,'standardized values'!$AB$13,'standardized values'!$AD$13)</f>
        <v>-0.16631540728359445</v>
      </c>
      <c r="I38">
        <f>STANDARDIZE(Dataset!AC38,'standardized values'!$AB$14,'standardized values'!$AD$14)</f>
        <v>0.41368106831117668</v>
      </c>
      <c r="J38">
        <f>STANDARDIZE(Dataset!AK38,'standardized values'!$AB$20,'standardized values'!$AD$20)</f>
        <v>-0.31756572893618434</v>
      </c>
      <c r="K38">
        <f>STANDARDIZE(Dataset!AL38,'standardized values'!$AB$21,'standardized values'!$AD$21)</f>
        <v>-0.30137639111464526</v>
      </c>
      <c r="L38">
        <f>STANDARDIZE(Dataset!AM38,'standardized values'!$AB$22,'standardized values'!$AD$22)</f>
        <v>-0.25922639236945699</v>
      </c>
      <c r="M38">
        <f>STANDARDIZE(Dataset!AN38,'standardized values'!$AB$23,'standardized values'!$AD$23)</f>
        <v>-0.66879341809217063</v>
      </c>
      <c r="N38">
        <f>STANDARDIZE(Dataset!AO38,'standardized values'!$AB$24,'standardized values'!$AD$24)</f>
        <v>-0.49194903300126919</v>
      </c>
      <c r="O38">
        <f>STANDARDIZE(Dataset!AP38,'standardized values'!$AB$27,'standardized values'!$AD$27)</f>
        <v>-1.3115098732020207</v>
      </c>
      <c r="P38">
        <f>STANDARDIZE(Dataset!AQ38,'standardized values'!$AB$28,'standardized values'!$AD$28)</f>
        <v>3.5069698433234299E-2</v>
      </c>
      <c r="Q38">
        <f>STANDARDIZE(Dataset!AD38,'standardized values'!$AB$15,'standardized values'!$AD$15)</f>
        <v>-0.29674550916487918</v>
      </c>
      <c r="R38">
        <f>STANDARDIZE(Dataset!AE38,'standardized values'!$AB$16,'standardized values'!$AD$16)</f>
        <v>-0.30180757688382043</v>
      </c>
      <c r="S38">
        <f>STANDARDIZE(Dataset!AF38,'standardized values'!$AB$17,'standardized values'!$AD$17)</f>
        <v>6.47513774822948E-2</v>
      </c>
      <c r="T38">
        <f>STANDARDIZE(Dataset!AG38,'standardized values'!$AB$18,'standardized values'!$AD$18)</f>
        <v>0.43387717846790796</v>
      </c>
      <c r="U38">
        <f>STANDARDIZE(Dataset!AH38,'standardized values'!$AB$19,'standardized values'!$AD$19)</f>
        <v>0.1934108364596778</v>
      </c>
      <c r="V38">
        <f>STANDARDIZE(Dataset!AR38,AVERAGE(Dataset!$AR$2:$AR$51),STDEV(Dataset!$AR$2:$AR$51))</f>
        <v>0.16508899102916155</v>
      </c>
      <c r="W38">
        <f>STANDARDIZE(Dataset!AS38,AVERAGE(Dataset!$AS$2:$AS$51),STDEV(Dataset!$AS$2:$AS$51))</f>
        <v>-2.4304823050726305E-2</v>
      </c>
      <c r="X38">
        <f>STANDARDIZE(Dataset!AT38,AVERAGE(Dataset!$AT$2:$AT$51),STDEV(Dataset!$AT$2:$AT$51))</f>
        <v>-2.876947508960085E-2</v>
      </c>
      <c r="Y38"/>
      <c r="AH38" s="8" t="s">
        <v>117</v>
      </c>
      <c r="AI38" s="31">
        <f t="shared" si="0"/>
        <v>0.11201469288883439</v>
      </c>
      <c r="AJ38" s="31">
        <f t="shared" si="7"/>
        <v>-0.20526105173965292</v>
      </c>
      <c r="AK38" s="31">
        <f t="shared" si="8"/>
        <v>0.43624269871541937</v>
      </c>
      <c r="AL38" s="31">
        <f t="shared" si="9"/>
        <v>-1.4199688434628968</v>
      </c>
      <c r="AM38" s="31">
        <f t="shared" si="6"/>
        <v>-1.2764401747687864</v>
      </c>
      <c r="AN38" s="31">
        <f t="shared" si="10"/>
        <v>-9.8276919935644802E-2</v>
      </c>
      <c r="AO38" s="31"/>
    </row>
    <row r="39" spans="1:41" s="8" customFormat="1" ht="15.75" customHeight="1" x14ac:dyDescent="0.25">
      <c r="A39" s="8" t="s">
        <v>118</v>
      </c>
      <c r="B39" s="8" t="s">
        <v>119</v>
      </c>
      <c r="C39" s="8">
        <v>2015</v>
      </c>
      <c r="D39">
        <f>STANDARDIZE(Dataset!X39,'standardized values'!$AB$9,'standardized values'!$AD$9)</f>
        <v>-0.54388904807057681</v>
      </c>
      <c r="E39">
        <f>STANDARDIZE(Dataset!Y39,'standardized values'!$AB$10,'standardized values'!$AD$10)</f>
        <v>-0.68105029781481818</v>
      </c>
      <c r="F39">
        <f>STANDARDIZE(Dataset!Z39,'standardized values'!$AB$11,'standardized values'!$AD$11)</f>
        <v>-0.67231469454297987</v>
      </c>
      <c r="G39">
        <f>STANDARDIZE(Dataset!AA39,'standardized values'!$AB$12,'standardized values'!$AD$12)</f>
        <v>-0.18011699618958285</v>
      </c>
      <c r="H39">
        <f>STANDARDIZE(Dataset!AB39,'standardized values'!$AB$13,'standardized values'!$AD$13)</f>
        <v>-4.1245384192234065E-2</v>
      </c>
      <c r="I39">
        <f>STANDARDIZE(Dataset!AC39,'standardized values'!$AB$14,'standardized values'!$AD$14)</f>
        <v>-0.12919967046055217</v>
      </c>
      <c r="J39">
        <f>STANDARDIZE(Dataset!AK39,'standardized values'!$AB$20,'standardized values'!$AD$20)</f>
        <v>-0.54235661120942535</v>
      </c>
      <c r="K39">
        <f>STANDARDIZE(Dataset!AL39,'standardized values'!$AB$21,'standardized values'!$AD$21)</f>
        <v>-0.25697367460083853</v>
      </c>
      <c r="L39">
        <f>STANDARDIZE(Dataset!AM39,'standardized values'!$AB$22,'standardized values'!$AD$22)</f>
        <v>-0.12421235999288834</v>
      </c>
      <c r="M39">
        <f>STANDARDIZE(Dataset!AN39,'standardized values'!$AB$23,'standardized values'!$AD$23)</f>
        <v>0.31212258277646948</v>
      </c>
      <c r="N39">
        <f>STANDARDIZE(Dataset!AO39,'standardized values'!$AB$24,'standardized values'!$AD$24)</f>
        <v>0.2414013244979358</v>
      </c>
      <c r="O39">
        <f>STANDARDIZE(Dataset!AP39,'standardized values'!$AB$27,'standardized values'!$AD$27)</f>
        <v>-8.6083229031930775E-2</v>
      </c>
      <c r="P39">
        <f>STANDARDIZE(Dataset!AQ39,'standardized values'!$AB$28,'standardized values'!$AD$28)</f>
        <v>-0.20156476038785631</v>
      </c>
      <c r="Q39">
        <f>STANDARDIZE(Dataset!AD39,'standardized values'!$AB$15,'standardized values'!$AD$15)</f>
        <v>-3.042528658146982E-2</v>
      </c>
      <c r="R39">
        <f>STANDARDIZE(Dataset!AE39,'standardized values'!$AB$16,'standardized values'!$AD$16)</f>
        <v>-0.35119929063153543</v>
      </c>
      <c r="S39">
        <f>STANDARDIZE(Dataset!AF39,'standardized values'!$AB$17,'standardized values'!$AD$17)</f>
        <v>-0.17647652660004048</v>
      </c>
      <c r="T39">
        <f>STANDARDIZE(Dataset!AG39,'standardized values'!$AB$18,'standardized values'!$AD$18)</f>
        <v>-0.45296692877500522</v>
      </c>
      <c r="U39">
        <f>STANDARDIZE(Dataset!AH39,'standardized values'!$AB$19,'standardized values'!$AD$19)</f>
        <v>-0.38039065530075156</v>
      </c>
      <c r="V39">
        <f>STANDARDIZE(Dataset!AR39,AVERAGE(Dataset!$AR$2:$AR$51),STDEV(Dataset!$AR$2:$AR$51))</f>
        <v>-0.8284807584331968</v>
      </c>
      <c r="W39">
        <f>STANDARDIZE(Dataset!AS39,AVERAGE(Dataset!$AS$2:$AS$51),STDEV(Dataset!$AS$2:$AS$51))</f>
        <v>-0.91133336272073606</v>
      </c>
      <c r="X39">
        <f>STANDARDIZE(Dataset!AT39,AVERAGE(Dataset!$AT$2:$AT$51),STDEV(Dataset!$AT$2:$AT$51))</f>
        <v>-0.92003363745119815</v>
      </c>
      <c r="Y39"/>
      <c r="AH39" s="8" t="s">
        <v>119</v>
      </c>
      <c r="AI39" s="31">
        <f t="shared" si="0"/>
        <v>-2.6598477586051308</v>
      </c>
      <c r="AJ39" s="31">
        <f t="shared" si="7"/>
        <v>-0.92852995627081603</v>
      </c>
      <c r="AK39" s="31">
        <f t="shared" si="8"/>
        <v>-0.22136238038181691</v>
      </c>
      <c r="AL39" s="31">
        <f t="shared" si="9"/>
        <v>0.42931154728151699</v>
      </c>
      <c r="AM39" s="31">
        <f t="shared" si="6"/>
        <v>-0.28764798941978709</v>
      </c>
      <c r="AN39" s="31">
        <f t="shared" si="10"/>
        <v>-1.0871101884863406</v>
      </c>
      <c r="AO39" s="31"/>
    </row>
    <row r="40" spans="1:41" s="8" customFormat="1" ht="15.75" customHeight="1" x14ac:dyDescent="0.25">
      <c r="A40" s="8" t="s">
        <v>120</v>
      </c>
      <c r="B40" s="8" t="s">
        <v>121</v>
      </c>
      <c r="C40" s="8">
        <v>2015</v>
      </c>
      <c r="D40">
        <f>STANDARDIZE(Dataset!X40,'standardized values'!$AB$9,'standardized values'!$AD$9)</f>
        <v>-0.5268482180899059</v>
      </c>
      <c r="E40">
        <f>STANDARDIZE(Dataset!Y40,'standardized values'!$AB$10,'standardized values'!$AD$10)</f>
        <v>-0.57936158453516418</v>
      </c>
      <c r="F40">
        <f>STANDARDIZE(Dataset!Z40,'standardized values'!$AB$11,'standardized values'!$AD$11)</f>
        <v>-0.53949389739492781</v>
      </c>
      <c r="G40">
        <f>STANDARDIZE(Dataset!AA40,'standardized values'!$AB$12,'standardized values'!$AD$12)</f>
        <v>0.38792013574148332</v>
      </c>
      <c r="H40">
        <f>STANDARDIZE(Dataset!AB40,'standardized values'!$AB$13,'standardized values'!$AD$13)</f>
        <v>0.31120923292364672</v>
      </c>
      <c r="I40">
        <f>STANDARDIZE(Dataset!AC40,'standardized values'!$AB$14,'standardized values'!$AD$14)</f>
        <v>-0.49339063225604307</v>
      </c>
      <c r="J40">
        <f>STANDARDIZE(Dataset!AK40,'standardized values'!$AB$20,'standardized values'!$AD$20)</f>
        <v>-0.69660896879727852</v>
      </c>
      <c r="K40">
        <f>STANDARDIZE(Dataset!AL40,'standardized values'!$AB$21,'standardized values'!$AD$21)</f>
        <v>-0.58936238243957484</v>
      </c>
      <c r="L40">
        <f>STANDARDIZE(Dataset!AM40,'standardized values'!$AB$22,'standardized values'!$AD$22)</f>
        <v>-0.27007826223019599</v>
      </c>
      <c r="M40">
        <f>STANDARDIZE(Dataset!AN40,'standardized values'!$AB$23,'standardized values'!$AD$23)</f>
        <v>-0.67881045077150304</v>
      </c>
      <c r="N40">
        <f>STANDARDIZE(Dataset!AO40,'standardized values'!$AB$24,'standardized values'!$AD$24)</f>
        <v>-0.55682922084100317</v>
      </c>
      <c r="O40">
        <f>STANDARDIZE(Dataset!AP40,'standardized values'!$AB$27,'standardized values'!$AD$27)</f>
        <v>-0.20849461700976799</v>
      </c>
      <c r="P40">
        <f>STANDARDIZE(Dataset!AQ40,'standardized values'!$AB$28,'standardized values'!$AD$28)</f>
        <v>-0.19329452503543507</v>
      </c>
      <c r="Q40">
        <f>STANDARDIZE(Dataset!AD40,'standardized values'!$AB$15,'standardized values'!$AD$15)</f>
        <v>0.38194196830974964</v>
      </c>
      <c r="R40">
        <f>STANDARDIZE(Dataset!AE40,'standardized values'!$AB$16,'standardized values'!$AD$16)</f>
        <v>0.28767037654229799</v>
      </c>
      <c r="S40">
        <f>STANDARDIZE(Dataset!AF40,'standardized values'!$AB$17,'standardized values'!$AD$17)</f>
        <v>8.5870073233049876E-2</v>
      </c>
      <c r="T40">
        <f>STANDARDIZE(Dataset!AG40,'standardized values'!$AB$18,'standardized values'!$AD$18)</f>
        <v>0.44537955273542895</v>
      </c>
      <c r="U40">
        <f>STANDARDIZE(Dataset!AH40,'standardized values'!$AB$19,'standardized values'!$AD$19)</f>
        <v>0.2553157558000459</v>
      </c>
      <c r="V40">
        <f>STANDARDIZE(Dataset!AR40,AVERAGE(Dataset!$AR$2:$AR$51),STDEV(Dataset!$AR$2:$AR$51))</f>
        <v>-0.79780951598680339</v>
      </c>
      <c r="W40">
        <f>STANDARDIZE(Dataset!AS40,AVERAGE(Dataset!$AS$2:$AS$51),STDEV(Dataset!$AS$2:$AS$51))</f>
        <v>-0.76056803175390397</v>
      </c>
      <c r="X40">
        <f>STANDARDIZE(Dataset!AT40,AVERAGE(Dataset!$AT$2:$AT$51),STDEV(Dataset!$AT$2:$AT$51))</f>
        <v>-0.71686979650856886</v>
      </c>
      <c r="Y40"/>
      <c r="AH40" s="8" t="s">
        <v>121</v>
      </c>
      <c r="AI40" s="31">
        <f t="shared" si="0"/>
        <v>-2.2752473442492764</v>
      </c>
      <c r="AJ40" s="31">
        <f t="shared" si="7"/>
        <v>-1.7793619834928964</v>
      </c>
      <c r="AK40" s="31">
        <f t="shared" si="8"/>
        <v>0.69912936866513009</v>
      </c>
      <c r="AL40" s="31">
        <f t="shared" si="9"/>
        <v>-1.505717933842702</v>
      </c>
      <c r="AM40" s="31">
        <f t="shared" si="6"/>
        <v>-0.40178914204520305</v>
      </c>
      <c r="AN40" s="31">
        <f t="shared" si="10"/>
        <v>-0.92032819739253136</v>
      </c>
      <c r="AO40" s="31"/>
    </row>
    <row r="41" spans="1:41" s="8" customFormat="1" ht="15.75" customHeight="1" x14ac:dyDescent="0.25">
      <c r="A41" s="8" t="s">
        <v>122</v>
      </c>
      <c r="B41" s="8" t="s">
        <v>123</v>
      </c>
      <c r="C41" s="8">
        <v>2015</v>
      </c>
      <c r="D41">
        <f>STANDARDIZE(Dataset!X41,'standardized values'!$AB$9,'standardized values'!$AD$9)</f>
        <v>-0.11494217182364437</v>
      </c>
      <c r="E41">
        <f>STANDARDIZE(Dataset!Y41,'standardized values'!$AB$10,'standardized values'!$AD$10)</f>
        <v>-0.16491772860475265</v>
      </c>
      <c r="F41">
        <f>STANDARDIZE(Dataset!Z41,'standardized values'!$AB$11,'standardized values'!$AD$11)</f>
        <v>-0.16089907974061679</v>
      </c>
      <c r="G41">
        <f>STANDARDIZE(Dataset!AA41,'standardized values'!$AB$12,'standardized values'!$AD$12)</f>
        <v>0.19629441050343518</v>
      </c>
      <c r="H41">
        <f>STANDARDIZE(Dataset!AB41,'standardized values'!$AB$13,'standardized values'!$AD$13)</f>
        <v>8.1294674880958553E-2</v>
      </c>
      <c r="I41">
        <f>STANDARDIZE(Dataset!AC41,'standardized values'!$AB$14,'standardized values'!$AD$14)</f>
        <v>0.41654316738004227</v>
      </c>
      <c r="J41">
        <f>STANDARDIZE(Dataset!AK41,'standardized values'!$AB$20,'standardized values'!$AD$20)</f>
        <v>-3.8252942729840048E-2</v>
      </c>
      <c r="K41">
        <f>STANDARDIZE(Dataset!AL41,'standardized values'!$AB$21,'standardized values'!$AD$21)</f>
        <v>0.42499482240141689</v>
      </c>
      <c r="L41">
        <f>STANDARDIZE(Dataset!AM41,'standardized values'!$AB$22,'standardized values'!$AD$22)</f>
        <v>-9.5972981178115105E-2</v>
      </c>
      <c r="M41">
        <f>STANDARDIZE(Dataset!AN41,'standardized values'!$AB$23,'standardized values'!$AD$23)</f>
        <v>9.4339509259998011E-3</v>
      </c>
      <c r="N41">
        <f>STANDARDIZE(Dataset!AO41,'standardized values'!$AB$24,'standardized values'!$AD$24)</f>
        <v>6.7405272787072507E-2</v>
      </c>
      <c r="O41">
        <f>STANDARDIZE(Dataset!AP41,'standardized values'!$AB$27,'standardized values'!$AD$27)</f>
        <v>-0.52176215452012875</v>
      </c>
      <c r="P41">
        <f>STANDARDIZE(Dataset!AQ41,'standardized values'!$AB$28,'standardized values'!$AD$28)</f>
        <v>-0.20358749768398146</v>
      </c>
      <c r="Q41">
        <f>STANDARDIZE(Dataset!AD41,'standardized values'!$AB$15,'standardized values'!$AD$15)</f>
        <v>-0.45390021022382387</v>
      </c>
      <c r="R41">
        <f>STANDARDIZE(Dataset!AE41,'standardized values'!$AB$16,'standardized values'!$AD$16)</f>
        <v>-0.71899529113970984</v>
      </c>
      <c r="S41">
        <f>STANDARDIZE(Dataset!AF41,'standardized values'!$AB$17,'standardized values'!$AD$17)</f>
        <v>-0.2223783797180566</v>
      </c>
      <c r="T41">
        <f>STANDARDIZE(Dataset!AG41,'standardized values'!$AB$18,'standardized values'!$AD$18)</f>
        <v>-0.22190375054265854</v>
      </c>
      <c r="U41">
        <f>STANDARDIZE(Dataset!AH41,'standardized values'!$AB$19,'standardized values'!$AD$19)</f>
        <v>-0.26211819016168647</v>
      </c>
      <c r="V41">
        <f>STANDARDIZE(Dataset!AR41,AVERAGE(Dataset!$AR$2:$AR$51),STDEV(Dataset!$AR$2:$AR$51))</f>
        <v>-5.6433055773421996E-2</v>
      </c>
      <c r="W41">
        <f>STANDARDIZE(Dataset!AS41,AVERAGE(Dataset!$AS$2:$AS$51),STDEV(Dataset!$AS$2:$AS$51))</f>
        <v>-0.14610686796002192</v>
      </c>
      <c r="X41">
        <f>STANDARDIZE(Dataset!AT41,AVERAGE(Dataset!$AT$2:$AT$51),STDEV(Dataset!$AT$2:$AT$51))</f>
        <v>-0.13776788651259947</v>
      </c>
      <c r="Y41"/>
      <c r="AH41" s="8" t="s">
        <v>123</v>
      </c>
      <c r="AI41" s="31">
        <f t="shared" si="0"/>
        <v>-0.3403078102460434</v>
      </c>
      <c r="AJ41" s="31">
        <f t="shared" si="7"/>
        <v>0.80328504705161907</v>
      </c>
      <c r="AK41" s="31">
        <f t="shared" si="8"/>
        <v>0.27758908538439375</v>
      </c>
      <c r="AL41" s="31">
        <f t="shared" si="9"/>
        <v>-1.9133757465042797E-2</v>
      </c>
      <c r="AM41" s="31">
        <f t="shared" si="6"/>
        <v>-0.72534965220411018</v>
      </c>
      <c r="AN41" s="31">
        <f t="shared" si="10"/>
        <v>-1.6071389963330747E-2</v>
      </c>
      <c r="AO41" s="31"/>
    </row>
    <row r="42" spans="1:41" s="8" customFormat="1" x14ac:dyDescent="0.25">
      <c r="A42" s="8" t="s">
        <v>124</v>
      </c>
      <c r="B42" s="8" t="s">
        <v>125</v>
      </c>
      <c r="C42" s="8">
        <v>2015</v>
      </c>
      <c r="D42">
        <f>STANDARDIZE(Dataset!X42,'standardized values'!$AB$9,'standardized values'!$AD$9)</f>
        <v>0.95843079722853175</v>
      </c>
      <c r="E42">
        <f>STANDARDIZE(Dataset!Y42,'standardized values'!$AB$10,'standardized values'!$AD$10)</f>
        <v>1.2362514064640953</v>
      </c>
      <c r="F42">
        <f>STANDARDIZE(Dataset!Z42,'standardized values'!$AB$11,'standardized values'!$AD$11)</f>
        <v>1.1975416991476548</v>
      </c>
      <c r="G42">
        <f>STANDARDIZE(Dataset!AA42,'standardized values'!$AB$12,'standardized values'!$AD$12)</f>
        <v>0.11807347004260031</v>
      </c>
      <c r="H42">
        <f>STANDARDIZE(Dataset!AB42,'standardized values'!$AB$13,'standardized values'!$AD$13)</f>
        <v>0.51949548044176985</v>
      </c>
      <c r="I42">
        <f>STANDARDIZE(Dataset!AC42,'standardized values'!$AB$14,'standardized values'!$AD$14)</f>
        <v>0.69781177101819758</v>
      </c>
      <c r="J42">
        <f>STANDARDIZE(Dataset!AK42,'standardized values'!$AB$20,'standardized values'!$AD$20)</f>
        <v>1.8239019609581031</v>
      </c>
      <c r="K42">
        <f>STANDARDIZE(Dataset!AL42,'standardized values'!$AB$21,'standardized values'!$AD$21)</f>
        <v>1.6647141594126302</v>
      </c>
      <c r="L42">
        <f>STANDARDIZE(Dataset!AM42,'standardized values'!$AB$22,'standardized values'!$AD$22)</f>
        <v>0.68697968986530722</v>
      </c>
      <c r="M42">
        <f>STANDARDIZE(Dataset!AN42,'standardized values'!$AB$23,'standardized values'!$AD$23)</f>
        <v>1.1751017862187469</v>
      </c>
      <c r="N42">
        <f>STANDARDIZE(Dataset!AO42,'standardized values'!$AB$24,'standardized values'!$AD$24)</f>
        <v>1.1774609500516713</v>
      </c>
      <c r="O42">
        <f>STANDARDIZE(Dataset!AP42,'standardized values'!$AB$27,'standardized values'!$AD$27)</f>
        <v>0.64648263440130216</v>
      </c>
      <c r="P42" t="e">
        <f>STANDARDIZE(Dataset!AQ42,'standardized values'!$AB$28,'standardized values'!$AD$28)</f>
        <v>#DIV/0!</v>
      </c>
      <c r="Q42">
        <f>STANDARDIZE(Dataset!AD42,'standardized values'!$AB$15,'standardized values'!$AD$15)</f>
        <v>-0.70661742689032836</v>
      </c>
      <c r="R42">
        <f>STANDARDIZE(Dataset!AE42,'standardized values'!$AB$16,'standardized values'!$AD$16)</f>
        <v>-0.90269660845345256</v>
      </c>
      <c r="S42">
        <f>STANDARDIZE(Dataset!AF42,'standardized values'!$AB$17,'standardized values'!$AD$17)</f>
        <v>-1.096749146140978</v>
      </c>
      <c r="T42">
        <f>STANDARDIZE(Dataset!AG42,'standardized values'!$AB$18,'standardized values'!$AD$18)</f>
        <v>-0.972697096840339</v>
      </c>
      <c r="U42">
        <f>STANDARDIZE(Dataset!AH42,'standardized values'!$AB$19,'standardized values'!$AD$19)</f>
        <v>-0.88518489334919204</v>
      </c>
      <c r="V42">
        <f>STANDARDIZE(Dataset!AR42,AVERAGE(Dataset!$AR$2:$AR$51),STDEV(Dataset!$AR$2:$AR$51))</f>
        <v>1.8754964691703104</v>
      </c>
      <c r="W42">
        <f>STANDARDIZE(Dataset!AS42,AVERAGE(Dataset!$AS$2:$AS$51),STDEV(Dataset!$AS$2:$AS$51))</f>
        <v>1.9312891534471193</v>
      </c>
      <c r="X42">
        <f>STANDARDIZE(Dataset!AT42,AVERAGE(Dataset!$AT$2:$AT$51),STDEV(Dataset!$AT$2:$AT$51))</f>
        <v>1.940114886803415</v>
      </c>
      <c r="Y42"/>
      <c r="AH42" s="8" t="s">
        <v>125</v>
      </c>
      <c r="AI42" s="31">
        <f t="shared" si="0"/>
        <v>5.7469005094208452</v>
      </c>
      <c r="AJ42" s="31">
        <f t="shared" si="7"/>
        <v>4.1864278913889308</v>
      </c>
      <c r="AK42" s="31">
        <f t="shared" si="8"/>
        <v>0.63756895048437012</v>
      </c>
      <c r="AL42" s="31">
        <f t="shared" si="9"/>
        <v>3.0395424261357258</v>
      </c>
      <c r="AM42" s="31">
        <f>SUM(O42:O42)</f>
        <v>0.64648263440130216</v>
      </c>
      <c r="AN42" s="31">
        <f t="shared" si="10"/>
        <v>3.0218096061594206</v>
      </c>
      <c r="AO42" s="31"/>
    </row>
    <row r="43" spans="1:41" s="8" customFormat="1" ht="15.75" customHeight="1" x14ac:dyDescent="0.25">
      <c r="A43" s="8" t="s">
        <v>126</v>
      </c>
      <c r="B43" s="8" t="s">
        <v>127</v>
      </c>
      <c r="C43" s="8">
        <v>2015</v>
      </c>
      <c r="D43">
        <f>STANDARDIZE(Dataset!X43,'standardized values'!$AB$9,'standardized values'!$AD$9)</f>
        <v>0.28769442759479474</v>
      </c>
      <c r="E43">
        <f>STANDARDIZE(Dataset!Y43,'standardized values'!$AB$10,'standardized values'!$AD$10)</f>
        <v>0.40843819789841385</v>
      </c>
      <c r="F43">
        <f>STANDARDIZE(Dataset!Z43,'standardized values'!$AB$11,'standardized values'!$AD$11)</f>
        <v>0.35531603070433626</v>
      </c>
      <c r="G43">
        <f>STANDARDIZE(Dataset!AA43,'standardized values'!$AB$12,'standardized values'!$AD$12)</f>
        <v>0.20682219994045326</v>
      </c>
      <c r="H43">
        <f>STANDARDIZE(Dataset!AB43,'standardized values'!$AB$13,'standardized values'!$AD$13)</f>
        <v>6.5463787851342548E-2</v>
      </c>
      <c r="I43">
        <f>STANDARDIZE(Dataset!AC43,'standardized values'!$AB$14,'standardized values'!$AD$14)</f>
        <v>0.40220098437120694</v>
      </c>
      <c r="J43">
        <f>STANDARDIZE(Dataset!AK43,'standardized values'!$AB$20,'standardized values'!$AD$20)</f>
        <v>1.6426204851435673</v>
      </c>
      <c r="K43">
        <f>STANDARDIZE(Dataset!AL43,'standardized values'!$AB$21,'standardized values'!$AD$21)</f>
        <v>2.6518558521538238</v>
      </c>
      <c r="L43">
        <f>STANDARDIZE(Dataset!AM43,'standardized values'!$AB$22,'standardized values'!$AD$22)</f>
        <v>0.11397181927825871</v>
      </c>
      <c r="M43">
        <f>STANDARDIZE(Dataset!AN43,'standardized values'!$AB$23,'standardized values'!$AD$23)</f>
        <v>0.89234468890180929</v>
      </c>
      <c r="N43">
        <f>STANDARDIZE(Dataset!AO43,'standardized values'!$AB$24,'standardized values'!$AD$24)</f>
        <v>0.93480232915966599</v>
      </c>
      <c r="O43">
        <f>STANDARDIZE(Dataset!AP43,'standardized values'!$AB$27,'standardized values'!$AD$27)</f>
        <v>2.7103025440871646</v>
      </c>
      <c r="P43">
        <f>STANDARDIZE(Dataset!AQ43,'standardized values'!$AB$28,'standardized values'!$AD$28)</f>
        <v>-0.17076928263785779</v>
      </c>
      <c r="Q43">
        <f>STANDARDIZE(Dataset!AD43,'standardized values'!$AB$15,'standardized values'!$AD$15)</f>
        <v>-0.6976739693678824</v>
      </c>
      <c r="R43">
        <f>STANDARDIZE(Dataset!AE43,'standardized values'!$AB$16,'standardized values'!$AD$16)</f>
        <v>-0.95940652567802653</v>
      </c>
      <c r="S43">
        <f>STANDARDIZE(Dataset!AF43,'standardized values'!$AB$17,'standardized values'!$AD$17)</f>
        <v>-0.52337649421243027</v>
      </c>
      <c r="T43">
        <f>STANDARDIZE(Dataset!AG43,'standardized values'!$AB$18,'standardized values'!$AD$18)</f>
        <v>-0.82126210362049357</v>
      </c>
      <c r="U43">
        <f>STANDARDIZE(Dataset!AH43,'standardized values'!$AB$19,'standardized values'!$AD$19)</f>
        <v>-0.77201589792154723</v>
      </c>
      <c r="V43">
        <f>STANDARDIZE(Dataset!AR43,AVERAGE(Dataset!$AR$2:$AR$51),STDEV(Dataset!$AR$2:$AR$51))</f>
        <v>0.66825962483908308</v>
      </c>
      <c r="W43">
        <f>STANDARDIZE(Dataset!AS43,AVERAGE(Dataset!$AS$2:$AS$51),STDEV(Dataset!$AS$2:$AS$51))</f>
        <v>0.70395990182316925</v>
      </c>
      <c r="X43">
        <f>STANDARDIZE(Dataset!AT43,AVERAGE(Dataset!$AT$2:$AT$51),STDEV(Dataset!$AT$2:$AT$51))</f>
        <v>0.65183921450274274</v>
      </c>
      <c r="Y43"/>
      <c r="AH43" s="8" t="s">
        <v>127</v>
      </c>
      <c r="AI43" s="31">
        <f t="shared" si="0"/>
        <v>2.0240587411649953</v>
      </c>
      <c r="AJ43" s="31">
        <f t="shared" si="7"/>
        <v>4.6966773216685986</v>
      </c>
      <c r="AK43" s="31">
        <f t="shared" si="8"/>
        <v>0.2722859877917958</v>
      </c>
      <c r="AL43" s="31">
        <f t="shared" si="9"/>
        <v>1.9411188373397339</v>
      </c>
      <c r="AM43" s="31">
        <f t="shared" ref="AM43:AM51" si="11">SUM(O43:P43)</f>
        <v>2.5395332614493067</v>
      </c>
      <c r="AN43" s="31">
        <f t="shared" si="10"/>
        <v>1.7214535971806411</v>
      </c>
      <c r="AO43" s="31"/>
    </row>
    <row r="44" spans="1:41" s="8" customFormat="1" ht="15.75" customHeight="1" x14ac:dyDescent="0.25">
      <c r="A44" s="8" t="s">
        <v>128</v>
      </c>
      <c r="B44" s="8" t="s">
        <v>129</v>
      </c>
      <c r="C44" s="8">
        <v>2015</v>
      </c>
      <c r="D44">
        <f>STANDARDIZE(Dataset!X44,'standardized values'!$AB$9,'standardized values'!$AD$9)</f>
        <v>-0.33150551578230142</v>
      </c>
      <c r="E44">
        <f>STANDARDIZE(Dataset!Y44,'standardized values'!$AB$10,'standardized values'!$AD$10)</f>
        <v>-0.43991267837809167</v>
      </c>
      <c r="F44">
        <f>STANDARDIZE(Dataset!Z44,'standardized values'!$AB$11,'standardized values'!$AD$11)</f>
        <v>-0.4242033299943086</v>
      </c>
      <c r="G44">
        <f>STANDARDIZE(Dataset!AA44,'standardized values'!$AB$12,'standardized values'!$AD$12)</f>
        <v>-2.8370465742822263E-2</v>
      </c>
      <c r="H44">
        <f>STANDARDIZE(Dataset!AB44,'standardized values'!$AB$13,'standardized values'!$AD$13)</f>
        <v>1.7758705133103281E-2</v>
      </c>
      <c r="I44">
        <f>STANDARDIZE(Dataset!AC44,'standardized values'!$AB$14,'standardized values'!$AD$14)</f>
        <v>0.5683813074681493</v>
      </c>
      <c r="J44">
        <f>STANDARDIZE(Dataset!AK44,'standardized values'!$AB$20,'standardized values'!$AD$20)</f>
        <v>-0.18787734226763675</v>
      </c>
      <c r="K44">
        <f>STANDARDIZE(Dataset!AL44,'standardized values'!$AB$21,'standardized values'!$AD$21)</f>
        <v>-0.33226181058772941</v>
      </c>
      <c r="L44">
        <f>STANDARDIZE(Dataset!AM44,'standardized values'!$AB$22,'standardized values'!$AD$22)</f>
        <v>0.55334135535874296</v>
      </c>
      <c r="M44">
        <f>STANDARDIZE(Dataset!AN44,'standardized values'!$AB$23,'standardized values'!$AD$23)</f>
        <v>0.77765519133178063</v>
      </c>
      <c r="N44">
        <f>STANDARDIZE(Dataset!AO44,'standardized values'!$AB$24,'standardized values'!$AD$24)</f>
        <v>0.73865833813411963</v>
      </c>
      <c r="O44">
        <f>STANDARDIZE(Dataset!AP44,'standardized values'!$AB$27,'standardized values'!$AD$27)</f>
        <v>0.47809840153022853</v>
      </c>
      <c r="P44">
        <f>STANDARDIZE(Dataset!AQ44,'standardized values'!$AB$28,'standardized values'!$AD$28)</f>
        <v>-0.2043022811701678</v>
      </c>
      <c r="Q44">
        <f>STANDARDIZE(Dataset!AD44,'standardized values'!$AB$15,'standardized values'!$AD$15)</f>
        <v>-0.38318651504807144</v>
      </c>
      <c r="R44">
        <f>STANDARDIZE(Dataset!AE44,'standardized values'!$AB$16,'standardized values'!$AD$16)</f>
        <v>-0.26348926091728725</v>
      </c>
      <c r="S44">
        <f>STANDARDIZE(Dataset!AF44,'standardized values'!$AB$17,'standardized values'!$AD$17)</f>
        <v>-0.98692501427182044</v>
      </c>
      <c r="T44">
        <f>STANDARDIZE(Dataset!AG44,'standardized values'!$AB$18,'standardized values'!$AD$18)</f>
        <v>-0.75507529675109997</v>
      </c>
      <c r="U44">
        <f>STANDARDIZE(Dataset!AH44,'standardized values'!$AB$19,'standardized values'!$AD$19)</f>
        <v>-0.67240289953995924</v>
      </c>
      <c r="V44">
        <f>STANDARDIZE(Dataset!AR44,AVERAGE(Dataset!$AR$2:$AR$51),STDEV(Dataset!$AR$2:$AR$51))</f>
        <v>-0.44621846147794825</v>
      </c>
      <c r="W44">
        <f>STANDARDIZE(Dataset!AS44,AVERAGE(Dataset!$AS$2:$AS$51),STDEV(Dataset!$AS$2:$AS$51))</f>
        <v>-0.55381882811401217</v>
      </c>
      <c r="X44">
        <f>STANDARDIZE(Dataset!AT44,AVERAGE(Dataset!$AT$2:$AT$51),STDEV(Dataset!$AT$2:$AT$51))</f>
        <v>-0.54052034671979843</v>
      </c>
      <c r="Y44"/>
      <c r="AH44" s="8" t="s">
        <v>129</v>
      </c>
      <c r="AI44" s="31">
        <f t="shared" si="0"/>
        <v>-1.540557636311759</v>
      </c>
      <c r="AJ44" s="31">
        <f t="shared" si="7"/>
        <v>4.8242154612783139E-2</v>
      </c>
      <c r="AK44" s="31">
        <f t="shared" si="8"/>
        <v>-1.0611760609718981E-2</v>
      </c>
      <c r="AL44" s="31">
        <f t="shared" si="9"/>
        <v>2.0696548848246432</v>
      </c>
      <c r="AM44" s="31">
        <f t="shared" si="11"/>
        <v>0.27379612036006074</v>
      </c>
      <c r="AN44" s="31">
        <f t="shared" si="10"/>
        <v>-0.30373997294276861</v>
      </c>
      <c r="AO44" s="31"/>
    </row>
    <row r="45" spans="1:41" s="8" customFormat="1" ht="15.75" customHeight="1" x14ac:dyDescent="0.25">
      <c r="A45" s="8" t="s">
        <v>130</v>
      </c>
      <c r="B45" s="8" t="s">
        <v>131</v>
      </c>
      <c r="C45" s="8">
        <v>2015</v>
      </c>
      <c r="D45">
        <f>STANDARDIZE(Dataset!X45,'standardized values'!$AB$9,'standardized values'!$AD$9)</f>
        <v>0.38023465289410058</v>
      </c>
      <c r="E45">
        <f>STANDARDIZE(Dataset!Y45,'standardized values'!$AB$10,'standardized values'!$AD$10)</f>
        <v>1.6074728128975038</v>
      </c>
      <c r="F45">
        <f>STANDARDIZE(Dataset!Z45,'standardized values'!$AB$11,'standardized values'!$AD$11)</f>
        <v>1.6041697337618364</v>
      </c>
      <c r="G45">
        <f>STANDARDIZE(Dataset!AA45,'standardized values'!$AB$12,'standardized values'!$AD$12)</f>
        <v>1.239088354789164</v>
      </c>
      <c r="H45">
        <f>STANDARDIZE(Dataset!AB45,'standardized values'!$AB$13,'standardized values'!$AD$13)</f>
        <v>0.34601891510279792</v>
      </c>
      <c r="I45">
        <f>STANDARDIZE(Dataset!AC45,'standardized values'!$AB$14,'standardized values'!$AD$14)</f>
        <v>0.58981426489620814</v>
      </c>
      <c r="J45">
        <f>STANDARDIZE(Dataset!AK45,'standardized values'!$AB$20,'standardized values'!$AD$20)</f>
        <v>0.18039692423225198</v>
      </c>
      <c r="K45">
        <f>STANDARDIZE(Dataset!AL45,'standardized values'!$AB$21,'standardized values'!$AD$21)</f>
        <v>-7.4324321924263526E-2</v>
      </c>
      <c r="L45">
        <f>STANDARDIZE(Dataset!AM45,'standardized values'!$AB$22,'standardized values'!$AD$22)</f>
        <v>-0.15953546000158517</v>
      </c>
      <c r="M45">
        <f>STANDARDIZE(Dataset!AN45,'standardized values'!$AB$23,'standardized values'!$AD$23)</f>
        <v>0.77055459621760736</v>
      </c>
      <c r="N45">
        <f>STANDARDIZE(Dataset!AO45,'standardized values'!$AB$24,'standardized values'!$AD$24)</f>
        <v>1.1832529100473419</v>
      </c>
      <c r="O45">
        <f>STANDARDIZE(Dataset!AP45,'standardized values'!$AB$27,'standardized values'!$AD$27)</f>
        <v>4.9714319646050338E-2</v>
      </c>
      <c r="P45">
        <f>STANDARDIZE(Dataset!AQ45,'standardized values'!$AB$28,'standardized values'!$AD$28)</f>
        <v>-8.6642264199773486E-2</v>
      </c>
      <c r="Q45">
        <f>STANDARDIZE(Dataset!AD45,'standardized values'!$AB$15,'standardized values'!$AD$15)</f>
        <v>-0.5249491024582148</v>
      </c>
      <c r="R45">
        <f>STANDARDIZE(Dataset!AE45,'standardized values'!$AB$16,'standardized values'!$AD$16)</f>
        <v>-0.50371526341407069</v>
      </c>
      <c r="S45">
        <f>STANDARDIZE(Dataset!AF45,'standardized values'!$AB$17,'standardized values'!$AD$17)</f>
        <v>-0.11696961677535223</v>
      </c>
      <c r="T45">
        <f>STANDARDIZE(Dataset!AG45,'standardized values'!$AB$18,'standardized values'!$AD$18)</f>
        <v>-0.75088006948423058</v>
      </c>
      <c r="U45">
        <f>STANDARDIZE(Dataset!AH45,'standardized values'!$AB$19,'standardized values'!$AD$19)</f>
        <v>-0.88776129720038932</v>
      </c>
      <c r="V45">
        <f>STANDARDIZE(Dataset!AR45,AVERAGE(Dataset!$AR$2:$AR$51),STDEV(Dataset!$AR$2:$AR$51))</f>
        <v>0.83481980350516549</v>
      </c>
      <c r="W45">
        <f>STANDARDIZE(Dataset!AS45,AVERAGE(Dataset!$AS$2:$AS$51),STDEV(Dataset!$AS$2:$AS$51))</f>
        <v>2.4816680145601526</v>
      </c>
      <c r="X45">
        <f>STANDARDIZE(Dataset!AT45,AVERAGE(Dataset!$AT$2:$AT$51),STDEV(Dataset!$AT$2:$AT$51))</f>
        <v>2.562096648101563</v>
      </c>
      <c r="Y45"/>
      <c r="AH45" s="8" t="s">
        <v>131</v>
      </c>
      <c r="AI45" s="31">
        <f t="shared" si="0"/>
        <v>5.8785844661668811</v>
      </c>
      <c r="AJ45" s="31">
        <f t="shared" si="7"/>
        <v>0.69588686720419657</v>
      </c>
      <c r="AK45" s="31">
        <f t="shared" si="8"/>
        <v>1.5851072698919619</v>
      </c>
      <c r="AL45" s="31">
        <f t="shared" si="9"/>
        <v>1.7942720462633641</v>
      </c>
      <c r="AM45" s="31">
        <f t="shared" si="11"/>
        <v>-3.6927944553723148E-2</v>
      </c>
      <c r="AN45" s="31">
        <f t="shared" si="10"/>
        <v>2.8576152045119785</v>
      </c>
      <c r="AO45" s="31"/>
    </row>
    <row r="46" spans="1:41" s="8" customFormat="1" ht="15.75" customHeight="1" x14ac:dyDescent="0.25">
      <c r="A46" s="8" t="s">
        <v>132</v>
      </c>
      <c r="B46" s="8" t="s">
        <v>133</v>
      </c>
      <c r="C46" s="8">
        <v>2015</v>
      </c>
      <c r="D46">
        <f>STANDARDIZE(Dataset!X46,'standardized values'!$AB$9,'standardized values'!$AD$9)</f>
        <v>-0.38673192781054666</v>
      </c>
      <c r="E46">
        <f>STANDARDIZE(Dataset!Y46,'standardized values'!$AB$10,'standardized values'!$AD$10)</f>
        <v>-0.38990622205187775</v>
      </c>
      <c r="F46">
        <f>STANDARDIZE(Dataset!Z46,'standardized values'!$AB$11,'standardized values'!$AD$11)</f>
        <v>-0.44927677440221031</v>
      </c>
      <c r="G46">
        <f>STANDARDIZE(Dataset!AA46,'standardized values'!$AB$12,'standardized values'!$AD$12)</f>
        <v>6.087034812523167E-2</v>
      </c>
      <c r="H46">
        <f>STANDARDIZE(Dataset!AB46,'standardized values'!$AB$13,'standardized values'!$AD$13)</f>
        <v>0.2175561734179943</v>
      </c>
      <c r="I46">
        <f>STANDARDIZE(Dataset!AC46,'standardized values'!$AB$14,'standardized values'!$AD$14)</f>
        <v>-0.14887840823169632</v>
      </c>
      <c r="J46">
        <f>STANDARDIZE(Dataset!AK46,'standardized values'!$AB$20,'standardized values'!$AD$20)</f>
        <v>-0.56648841289558227</v>
      </c>
      <c r="K46">
        <f>STANDARDIZE(Dataset!AL46,'standardized values'!$AB$21,'standardized values'!$AD$21)</f>
        <v>-0.48821117367954003</v>
      </c>
      <c r="L46">
        <f>STANDARDIZE(Dataset!AM46,'standardized values'!$AB$22,'standardized values'!$AD$22)</f>
        <v>-0.91470886873223511</v>
      </c>
      <c r="M46">
        <f>STANDARDIZE(Dataset!AN46,'standardized values'!$AB$23,'standardized values'!$AD$23)</f>
        <v>-1.5423673116211589</v>
      </c>
      <c r="N46">
        <f>STANDARDIZE(Dataset!AO46,'standardized values'!$AB$24,'standardized values'!$AD$24)</f>
        <v>-1.4768193578245163</v>
      </c>
      <c r="O46">
        <f>STANDARDIZE(Dataset!AP46,'standardized values'!$AB$27,'standardized values'!$AD$27)</f>
        <v>0.41403101988197577</v>
      </c>
      <c r="P46">
        <f>STANDARDIZE(Dataset!AQ46,'standardized values'!$AB$28,'standardized values'!$AD$28)</f>
        <v>-0.20466169015574742</v>
      </c>
      <c r="Q46">
        <f>STANDARDIZE(Dataset!AD46,'standardized values'!$AB$15,'standardized values'!$AD$15)</f>
        <v>1.4646408225372783E-2</v>
      </c>
      <c r="R46">
        <f>STANDARDIZE(Dataset!AE46,'standardized values'!$AB$16,'standardized values'!$AD$16)</f>
        <v>2.7565424966571653E-3</v>
      </c>
      <c r="S46">
        <f>STANDARDIZE(Dataset!AF46,'standardized values'!$AB$17,'standardized values'!$AD$17)</f>
        <v>2.170698606015204</v>
      </c>
      <c r="T46">
        <f>STANDARDIZE(Dataset!AG46,'standardized values'!$AB$18,'standardized values'!$AD$18)</f>
        <v>1.7457619849977806</v>
      </c>
      <c r="U46">
        <f>STANDARDIZE(Dataset!AH46,'standardized values'!$AB$19,'standardized values'!$AD$19)</f>
        <v>1.4512507982467084</v>
      </c>
      <c r="V46">
        <f>STANDARDIZE(Dataset!AR46,AVERAGE(Dataset!$AR$2:$AR$51),STDEV(Dataset!$AR$2:$AR$51))</f>
        <v>-0.54561870634184551</v>
      </c>
      <c r="W46">
        <f>STANDARDIZE(Dataset!AS46,AVERAGE(Dataset!$AS$2:$AS$51),STDEV(Dataset!$AS$2:$AS$51))</f>
        <v>-0.47967844718730679</v>
      </c>
      <c r="X46">
        <f>STANDARDIZE(Dataset!AT46,AVERAGE(Dataset!$AT$2:$AT$51),STDEV(Dataset!$AT$2:$AT$51))</f>
        <v>-0.57887290430829585</v>
      </c>
      <c r="Y46"/>
      <c r="AH46" s="8" t="s">
        <v>133</v>
      </c>
      <c r="AI46" s="31">
        <f t="shared" si="0"/>
        <v>-1.604170057837448</v>
      </c>
      <c r="AJ46" s="31">
        <f t="shared" si="7"/>
        <v>-1.2035779948068186</v>
      </c>
      <c r="AK46" s="31">
        <f t="shared" si="8"/>
        <v>0.27842652154322595</v>
      </c>
      <c r="AL46" s="31">
        <f t="shared" si="9"/>
        <v>-3.9338955381779108</v>
      </c>
      <c r="AM46" s="31">
        <f t="shared" si="11"/>
        <v>0.20936932972622835</v>
      </c>
      <c r="AN46" s="31">
        <f t="shared" si="10"/>
        <v>-0.95682065802882788</v>
      </c>
      <c r="AO46" s="31"/>
    </row>
    <row r="47" spans="1:41" s="8" customFormat="1" ht="15.75" customHeight="1" x14ac:dyDescent="0.25">
      <c r="A47" s="8" t="s">
        <v>134</v>
      </c>
      <c r="B47" s="8" t="s">
        <v>135</v>
      </c>
      <c r="C47" s="8">
        <v>2015</v>
      </c>
      <c r="D47">
        <f>STANDARDIZE(Dataset!X47,'standardized values'!$AB$9,'standardized values'!$AD$9)</f>
        <v>-0.27588911590574827</v>
      </c>
      <c r="E47">
        <f>STANDARDIZE(Dataset!Y47,'standardized values'!$AB$10,'standardized values'!$AD$10)</f>
        <v>-0.33570374501279698</v>
      </c>
      <c r="F47">
        <f>STANDARDIZE(Dataset!Z47,'standardized values'!$AB$11,'standardized values'!$AD$11)</f>
        <v>-0.38604121924154366</v>
      </c>
      <c r="G47">
        <f>STANDARDIZE(Dataset!AA47,'standardized values'!$AB$12,'standardized values'!$AD$12)</f>
        <v>-1.7262878444003982E-2</v>
      </c>
      <c r="H47">
        <f>STANDARDIZE(Dataset!AB47,'standardized values'!$AB$13,'standardized values'!$AD$13)</f>
        <v>-1.0760567387715681E-2</v>
      </c>
      <c r="I47">
        <f>STANDARDIZE(Dataset!AC47,'standardized values'!$AB$14,'standardized values'!$AD$14)</f>
        <v>0.1540599949475755</v>
      </c>
      <c r="J47">
        <f>STANDARDIZE(Dataset!AK47,'standardized values'!$AB$20,'standardized values'!$AD$20)</f>
        <v>-0.2110596597795186</v>
      </c>
      <c r="K47">
        <f>STANDARDIZE(Dataset!AL47,'standardized values'!$AB$21,'standardized values'!$AD$21)</f>
        <v>0.2292178941919126</v>
      </c>
      <c r="L47">
        <f>STANDARDIZE(Dataset!AM47,'standardized values'!$AB$22,'standardized values'!$AD$22)</f>
        <v>0.1015943859356699</v>
      </c>
      <c r="M47">
        <f>STANDARDIZE(Dataset!AN47,'standardized values'!$AB$23,'standardized values'!$AD$23)</f>
        <v>1.8374121949092754</v>
      </c>
      <c r="N47">
        <f>STANDARDIZE(Dataset!AO47,'standardized values'!$AB$24,'standardized values'!$AD$24)</f>
        <v>1.7633993141298081</v>
      </c>
      <c r="O47">
        <f>STANDARDIZE(Dataset!AP47,'standardized values'!$AB$27,'standardized values'!$AD$27)</f>
        <v>0.97466712414644563</v>
      </c>
      <c r="P47">
        <f>STANDARDIZE(Dataset!AQ47,'standardized values'!$AB$28,'standardized values'!$AD$28)</f>
        <v>-0.19108742473422791</v>
      </c>
      <c r="Q47">
        <f>STANDARDIZE(Dataset!AD47,'standardized values'!$AB$15,'standardized values'!$AD$15)</f>
        <v>-0.3698253419598328</v>
      </c>
      <c r="R47">
        <f>STANDARDIZE(Dataset!AE47,'standardized values'!$AB$16,'standardized values'!$AD$16)</f>
        <v>-0.65568801441481139</v>
      </c>
      <c r="S47">
        <f>STANDARDIZE(Dataset!AF47,'standardized values'!$AB$17,'standardized values'!$AD$17)</f>
        <v>-0.5073781107402604</v>
      </c>
      <c r="T47">
        <f>STANDARDIZE(Dataset!AG47,'standardized values'!$AB$18,'standardized values'!$AD$18)</f>
        <v>-1.2732096549598582</v>
      </c>
      <c r="U47">
        <f>STANDARDIZE(Dataset!AH47,'standardized values'!$AB$19,'standardized values'!$AD$19)</f>
        <v>-1.1204439706275926</v>
      </c>
      <c r="V47">
        <f>STANDARDIZE(Dataset!AR47,AVERAGE(Dataset!$AR$2:$AR$51),STDEV(Dataset!$AR$2:$AR$51))</f>
        <v>-0.34611629001422201</v>
      </c>
      <c r="W47">
        <f>STANDARDIZE(Dataset!AS47,AVERAGE(Dataset!$AS$2:$AS$51),STDEV(Dataset!$AS$2:$AS$51))</f>
        <v>-0.39931697808752847</v>
      </c>
      <c r="X47">
        <f>STANDARDIZE(Dataset!AT47,AVERAGE(Dataset!$AT$2:$AT$51),STDEV(Dataset!$AT$2:$AT$51))</f>
        <v>-0.48214725180178286</v>
      </c>
      <c r="Y47"/>
      <c r="AH47" s="8" t="s">
        <v>135</v>
      </c>
      <c r="AI47" s="31">
        <f t="shared" si="0"/>
        <v>-1.2275805199035332</v>
      </c>
      <c r="AJ47" s="31">
        <f t="shared" si="7"/>
        <v>0.1722182293599695</v>
      </c>
      <c r="AK47" s="31">
        <f t="shared" si="8"/>
        <v>-2.8023445831719663E-2</v>
      </c>
      <c r="AL47" s="31">
        <f t="shared" si="9"/>
        <v>3.7024058949747536</v>
      </c>
      <c r="AM47" s="31">
        <f t="shared" si="11"/>
        <v>0.78357969941221772</v>
      </c>
      <c r="AN47" s="31">
        <f t="shared" si="10"/>
        <v>2.6358994367355656E-2</v>
      </c>
      <c r="AO47" s="31"/>
    </row>
    <row r="48" spans="1:41" s="8" customFormat="1" ht="15.75" customHeight="1" x14ac:dyDescent="0.25">
      <c r="A48" s="8" t="s">
        <v>136</v>
      </c>
      <c r="B48" s="8" t="s">
        <v>137</v>
      </c>
      <c r="C48" s="8">
        <v>2015</v>
      </c>
      <c r="D48">
        <f>STANDARDIZE(Dataset!X48,'standardized values'!$AB$9,'standardized values'!$AD$9)</f>
        <v>-0.26393529652300224</v>
      </c>
      <c r="E48">
        <f>STANDARDIZE(Dataset!Y48,'standardized values'!$AB$10,'standardized values'!$AD$10)</f>
        <v>-0.20451966567789925</v>
      </c>
      <c r="F48">
        <f>STANDARDIZE(Dataset!Z48,'standardized values'!$AB$11,'standardized values'!$AD$11)</f>
        <v>-8.9697003707734355E-2</v>
      </c>
      <c r="G48">
        <f>STANDARDIZE(Dataset!AA48,'standardized values'!$AB$12,'standardized values'!$AD$12)</f>
        <v>-0.40198564434324879</v>
      </c>
      <c r="H48">
        <f>STANDARDIZE(Dataset!AB48,'standardized values'!$AB$13,'standardized values'!$AD$13)</f>
        <v>-0.11278326303090909</v>
      </c>
      <c r="I48">
        <f>STANDARDIZE(Dataset!AC48,'standardized values'!$AB$14,'standardized values'!$AD$14)</f>
        <v>0.23252917785782845</v>
      </c>
      <c r="J48">
        <f>STANDARDIZE(Dataset!AK48,'standardized values'!$AB$20,'standardized values'!$AD$20)</f>
        <v>-0.60325091692087318</v>
      </c>
      <c r="K48">
        <f>STANDARDIZE(Dataset!AL48,'standardized values'!$AB$21,'standardized values'!$AD$21)</f>
        <v>-0.73306891240583671</v>
      </c>
      <c r="L48">
        <f>STANDARDIZE(Dataset!AM48,'standardized values'!$AB$22,'standardized values'!$AD$22)</f>
        <v>9.7524006196611349E-2</v>
      </c>
      <c r="M48">
        <f>STANDARDIZE(Dataset!AN48,'standardized values'!$AB$23,'standardized values'!$AD$23)</f>
        <v>-9.7542347738025809E-2</v>
      </c>
      <c r="N48">
        <f>STANDARDIZE(Dataset!AO48,'standardized values'!$AB$24,'standardized values'!$AD$24)</f>
        <v>-0.21417355447518693</v>
      </c>
      <c r="O48">
        <f>STANDARDIZE(Dataset!AP48,'standardized values'!$AB$27,'standardized values'!$AD$27)</f>
        <v>0.29087927885605991</v>
      </c>
      <c r="P48">
        <f>STANDARDIZE(Dataset!AQ48,'standardized values'!$AB$28,'standardized values'!$AD$28)</f>
        <v>-0.20096931457455289</v>
      </c>
      <c r="Q48">
        <f>STANDARDIZE(Dataset!AD48,'standardized values'!$AB$15,'standardized values'!$AD$15)</f>
        <v>9.3893116685539471E-2</v>
      </c>
      <c r="R48">
        <f>STANDARDIZE(Dataset!AE48,'standardized values'!$AB$16,'standardized values'!$AD$16)</f>
        <v>1.0858720898136569</v>
      </c>
      <c r="S48">
        <f>STANDARDIZE(Dataset!AF48,'standardized values'!$AB$17,'standardized values'!$AD$17)</f>
        <v>-0.50207375239497765</v>
      </c>
      <c r="T48">
        <f>STANDARDIZE(Dataset!AG48,'standardized values'!$AB$18,'standardized values'!$AD$18)</f>
        <v>-0.13237018142806278</v>
      </c>
      <c r="U48">
        <f>STANDARDIZE(Dataset!AH48,'standardized values'!$AB$19,'standardized values'!$AD$19)</f>
        <v>-4.8808916030089397E-2</v>
      </c>
      <c r="V48">
        <f>STANDARDIZE(Dataset!AR48,AVERAGE(Dataset!$AR$2:$AR$51),STDEV(Dataset!$AR$2:$AR$51))</f>
        <v>-0.32460099452307095</v>
      </c>
      <c r="W48">
        <f>STANDARDIZE(Dataset!AS48,AVERAGE(Dataset!$AS$2:$AS$51),STDEV(Dataset!$AS$2:$AS$51))</f>
        <v>-0.20482134036504562</v>
      </c>
      <c r="X48">
        <f>STANDARDIZE(Dataset!AT48,AVERAGE(Dataset!$AT$2:$AT$51),STDEV(Dataset!$AT$2:$AT$51))</f>
        <v>-2.8856574726050136E-2</v>
      </c>
      <c r="Y48"/>
      <c r="AH48" s="8" t="s">
        <v>137</v>
      </c>
      <c r="AI48" s="31">
        <f t="shared" si="0"/>
        <v>-0.55827890961416682</v>
      </c>
      <c r="AJ48" s="31">
        <f t="shared" si="7"/>
        <v>-1.1037906514688816</v>
      </c>
      <c r="AK48" s="31">
        <f t="shared" si="8"/>
        <v>-0.51476890737415792</v>
      </c>
      <c r="AL48" s="31">
        <f t="shared" si="9"/>
        <v>-0.21419189601660138</v>
      </c>
      <c r="AM48" s="31">
        <f t="shared" si="11"/>
        <v>8.9909964281507021E-2</v>
      </c>
      <c r="AN48" s="31">
        <f t="shared" si="10"/>
        <v>-0.49837399426631124</v>
      </c>
      <c r="AO48" s="31"/>
    </row>
    <row r="49" spans="1:41" s="8" customFormat="1" ht="15.75" customHeight="1" x14ac:dyDescent="0.25">
      <c r="A49" s="8" t="s">
        <v>138</v>
      </c>
      <c r="B49" s="8" t="s">
        <v>139</v>
      </c>
      <c r="C49" s="8">
        <v>2015</v>
      </c>
      <c r="D49">
        <f>STANDARDIZE(Dataset!X49,'standardized values'!$AB$9,'standardized values'!$AD$9)</f>
        <v>-0.3411669738967103</v>
      </c>
      <c r="E49">
        <f>STANDARDIZE(Dataset!Y49,'standardized values'!$AB$10,'standardized values'!$AD$10)</f>
        <v>-0.51228626864548776</v>
      </c>
      <c r="F49">
        <f>STANDARDIZE(Dataset!Z49,'standardized values'!$AB$11,'standardized values'!$AD$11)</f>
        <v>-0.51780030900872165</v>
      </c>
      <c r="G49">
        <f>STANDARDIZE(Dataset!AA49,'standardized values'!$AB$12,'standardized values'!$AD$12)</f>
        <v>-8.8788860786127785E-3</v>
      </c>
      <c r="H49">
        <f>STANDARDIZE(Dataset!AB49,'standardized values'!$AB$13,'standardized values'!$AD$13)</f>
        <v>7.4070357267142797E-2</v>
      </c>
      <c r="I49">
        <f>STANDARDIZE(Dataset!AC49,'standardized values'!$AB$14,'standardized values'!$AD$14)</f>
        <v>6.1082229811996853E-2</v>
      </c>
      <c r="J49">
        <f>STANDARDIZE(Dataset!AK49,'standardized values'!$AB$20,'standardized values'!$AD$20)</f>
        <v>-0.3788470642076544</v>
      </c>
      <c r="K49">
        <f>STANDARDIZE(Dataset!AL49,'standardized values'!$AB$21,'standardized values'!$AD$21)</f>
        <v>-0.48117036774126726</v>
      </c>
      <c r="L49">
        <f>STANDARDIZE(Dataset!AM49,'standardized values'!$AB$22,'standardized values'!$AD$22)</f>
        <v>-0.59822444397828245</v>
      </c>
      <c r="M49">
        <f>STANDARDIZE(Dataset!AN49,'standardized values'!$AB$23,'standardized values'!$AD$23)</f>
        <v>-1.2760757460495125</v>
      </c>
      <c r="N49">
        <f>STANDARDIZE(Dataset!AO49,'standardized values'!$AB$24,'standardized values'!$AD$24)</f>
        <v>-1.2337829860318814</v>
      </c>
      <c r="O49">
        <f>STANDARDIZE(Dataset!AP49,'standardized values'!$AB$27,'standardized values'!$AD$27)</f>
        <v>-0.20379924222008386</v>
      </c>
      <c r="P49">
        <f>STANDARDIZE(Dataset!AQ49,'standardized values'!$AB$28,'standardized values'!$AD$28)</f>
        <v>-0.20262919012791528</v>
      </c>
      <c r="Q49">
        <f>STANDARDIZE(Dataset!AD49,'standardized values'!$AB$15,'standardized values'!$AD$15)</f>
        <v>-0.24330721175107511</v>
      </c>
      <c r="R49">
        <f>STANDARDIZE(Dataset!AE49,'standardized values'!$AB$16,'standardized values'!$AD$16)</f>
        <v>-1.2816651628115521E-2</v>
      </c>
      <c r="S49">
        <f>STANDARDIZE(Dataset!AF49,'standardized values'!$AB$17,'standardized values'!$AD$17)</f>
        <v>0.89012721558207619</v>
      </c>
      <c r="T49">
        <f>STANDARDIZE(Dataset!AG49,'standardized values'!$AB$18,'standardized values'!$AD$18)</f>
        <v>1.2667984350441972</v>
      </c>
      <c r="U49">
        <f>STANDARDIZE(Dataset!AH49,'standardized values'!$AB$19,'standardized values'!$AD$19)</f>
        <v>1.0630755916378485</v>
      </c>
      <c r="V49">
        <f>STANDARDIZE(Dataset!AR49,AVERAGE(Dataset!$AR$2:$AR$51),STDEV(Dataset!$AR$2:$AR$51))</f>
        <v>-0.46360780956421116</v>
      </c>
      <c r="W49">
        <f>STANDARDIZE(Dataset!AS49,AVERAGE(Dataset!$AS$2:$AS$51),STDEV(Dataset!$AS$2:$AS$51))</f>
        <v>-0.66112108357587818</v>
      </c>
      <c r="X49">
        <f>STANDARDIZE(Dataset!AT49,AVERAGE(Dataset!$AT$2:$AT$51),STDEV(Dataset!$AT$2:$AT$51))</f>
        <v>-0.68368709594506227</v>
      </c>
      <c r="Y49"/>
      <c r="AH49" s="8" t="s">
        <v>139</v>
      </c>
      <c r="AI49" s="31">
        <f t="shared" si="0"/>
        <v>-1.8084159890851517</v>
      </c>
      <c r="AJ49" s="31">
        <f t="shared" si="7"/>
        <v>-0.79893520213692482</v>
      </c>
      <c r="AK49" s="31">
        <f t="shared" si="8"/>
        <v>6.5191471188530026E-2</v>
      </c>
      <c r="AL49" s="31">
        <f t="shared" si="9"/>
        <v>-3.1080831760596763</v>
      </c>
      <c r="AM49" s="31">
        <f t="shared" si="11"/>
        <v>-0.40642843234799914</v>
      </c>
      <c r="AN49" s="31">
        <f t="shared" si="10"/>
        <v>-1.0414732623182774</v>
      </c>
      <c r="AO49" s="31"/>
    </row>
    <row r="50" spans="1:41" s="8" customFormat="1" ht="15.75" customHeight="1" x14ac:dyDescent="0.25">
      <c r="A50" s="8" t="s">
        <v>140</v>
      </c>
      <c r="B50" s="8" t="s">
        <v>141</v>
      </c>
      <c r="C50" s="8">
        <v>2015</v>
      </c>
      <c r="D50">
        <f>STANDARDIZE(Dataset!X50,'standardized values'!$AB$9,'standardized values'!$AD$9)</f>
        <v>-0.47193801473397667</v>
      </c>
      <c r="E50">
        <f>STANDARDIZE(Dataset!Y50,'standardized values'!$AB$10,'standardized values'!$AD$10)</f>
        <v>-0.46083797237074886</v>
      </c>
      <c r="F50">
        <f>STANDARDIZE(Dataset!Z50,'standardized values'!$AB$11,'standardized values'!$AD$11)</f>
        <v>-0.51751463575992385</v>
      </c>
      <c r="G50">
        <f>STANDARDIZE(Dataset!AA50,'standardized values'!$AB$12,'standardized values'!$AD$12)</f>
        <v>3.5124746772403799E-2</v>
      </c>
      <c r="H50">
        <f>STANDARDIZE(Dataset!AB50,'standardized values'!$AB$13,'standardized values'!$AD$13)</f>
        <v>8.0484602604687525E-2</v>
      </c>
      <c r="I50">
        <f>STANDARDIZE(Dataset!AC50,'standardized values'!$AB$14,'standardized values'!$AD$14)</f>
        <v>0.21691349925591125</v>
      </c>
      <c r="J50">
        <f>STANDARDIZE(Dataset!AK50,'standardized values'!$AB$20,'standardized values'!$AD$20)</f>
        <v>-0.24442533706061845</v>
      </c>
      <c r="K50">
        <f>STANDARDIZE(Dataset!AL50,'standardized values'!$AB$21,'standardized values'!$AD$21)</f>
        <v>-0.1951093908736147</v>
      </c>
      <c r="L50">
        <f>STANDARDIZE(Dataset!AM50,'standardized values'!$AB$22,'standardized values'!$AD$22)</f>
        <v>-0.25983022894798768</v>
      </c>
      <c r="M50">
        <f>STANDARDIZE(Dataset!AN50,'standardized values'!$AB$23,'standardized values'!$AD$23)</f>
        <v>-0.2786482535091066</v>
      </c>
      <c r="N50">
        <f>STANDARDIZE(Dataset!AO50,'standardized values'!$AB$24,'standardized values'!$AD$24)</f>
        <v>-0.25999883738592144</v>
      </c>
      <c r="O50">
        <f>STANDARDIZE(Dataset!AP50,'standardized values'!$AB$27,'standardized values'!$AD$27)</f>
        <v>2.0699522799310888</v>
      </c>
      <c r="P50">
        <f>STANDARDIZE(Dataset!AQ50,'standardized values'!$AB$28,'standardized values'!$AD$28)</f>
        <v>-0.15131054451609091</v>
      </c>
      <c r="Q50">
        <f>STANDARDIZE(Dataset!AD50,'standardized values'!$AB$15,'standardized values'!$AD$15)</f>
        <v>-0.34915247552131912</v>
      </c>
      <c r="R50">
        <f>STANDARDIZE(Dataset!AE50,'standardized values'!$AB$16,'standardized values'!$AD$16)</f>
        <v>-0.41075649173960671</v>
      </c>
      <c r="S50">
        <f>STANDARDIZE(Dataset!AF50,'standardized values'!$AB$17,'standardized values'!$AD$17)</f>
        <v>6.5919176966356199E-2</v>
      </c>
      <c r="T50">
        <f>STANDARDIZE(Dataset!AG50,'standardized values'!$AB$18,'standardized values'!$AD$18)</f>
        <v>2.9937149149899187E-2</v>
      </c>
      <c r="U50">
        <f>STANDARDIZE(Dataset!AH50,'standardized values'!$AB$19,'standardized values'!$AD$19)</f>
        <v>-1.1205200949056783E-2</v>
      </c>
      <c r="V50">
        <f>STANDARDIZE(Dataset!AR50,AVERAGE(Dataset!$AR$2:$AR$51),STDEV(Dataset!$AR$2:$AR$51))</f>
        <v>-0.69897840495401997</v>
      </c>
      <c r="W50">
        <f>STANDARDIZE(Dataset!AS50,AVERAGE(Dataset!$AS$2:$AS$51),STDEV(Dataset!$AS$2:$AS$51))</f>
        <v>-0.58484300742194772</v>
      </c>
      <c r="X50">
        <f>STANDARDIZE(Dataset!AT50,AVERAGE(Dataset!$AT$2:$AT$51),STDEV(Dataset!$AT$2:$AT$51))</f>
        <v>-0.68325012767106807</v>
      </c>
      <c r="Y50"/>
      <c r="AH50" s="8" t="s">
        <v>141</v>
      </c>
      <c r="AI50" s="31">
        <f t="shared" si="0"/>
        <v>-1.9670715400470358</v>
      </c>
      <c r="AJ50" s="31">
        <f t="shared" si="7"/>
        <v>-0.2226212286783219</v>
      </c>
      <c r="AK50" s="31">
        <f t="shared" si="8"/>
        <v>0.11560934937709133</v>
      </c>
      <c r="AL50" s="31">
        <f t="shared" si="9"/>
        <v>-0.79847731984301573</v>
      </c>
      <c r="AM50" s="31">
        <f t="shared" si="11"/>
        <v>1.9186417354149978</v>
      </c>
      <c r="AN50" s="31">
        <f t="shared" si="10"/>
        <v>-0.55825744804511446</v>
      </c>
      <c r="AO50" s="31"/>
    </row>
    <row r="51" spans="1:41" s="8" customFormat="1" x14ac:dyDescent="0.25">
      <c r="A51" s="8" t="s">
        <v>142</v>
      </c>
      <c r="B51" s="9" t="s">
        <v>143</v>
      </c>
      <c r="C51" s="8">
        <v>2015</v>
      </c>
      <c r="D51" s="5">
        <f>STANDARDIZE(Dataset!X51,'standardized values'!$AB$9,'standardized values'!$AD$9)</f>
        <v>1.0425369198794412</v>
      </c>
      <c r="E51" s="5">
        <f>STANDARDIZE(Dataset!Y51,'standardized values'!$AB$10,'standardized values'!$AD$10)</f>
        <v>0.84770876390807459</v>
      </c>
      <c r="F51" s="5">
        <f>STANDARDIZE(Dataset!Z51,'standardized values'!$AB$11,'standardized values'!$AD$11)</f>
        <v>0.83432206780429907</v>
      </c>
      <c r="G51" s="5">
        <f>STANDARDIZE(Dataset!AA51,'standardized values'!$AB$12,'standardized values'!$AD$12)</f>
        <v>1.0151182562112424</v>
      </c>
      <c r="H51" s="5">
        <f>STANDARDIZE(Dataset!AB51,'standardized values'!$AB$13,'standardized values'!$AD$13)</f>
        <v>0.74001179288806085</v>
      </c>
      <c r="I51" s="5">
        <f>STANDARDIZE(Dataset!AC51,'standardized values'!$AB$14,'standardized values'!$AD$14)</f>
        <v>1.2261342107199875</v>
      </c>
      <c r="J51" s="5">
        <f>STANDARDIZE(Dataset!AK51,'standardized values'!$AB$20,'standardized values'!$AD$20)</f>
        <v>1.7767631866607807</v>
      </c>
      <c r="K51" s="5">
        <f>STANDARDIZE(Dataset!AL51,'standardized values'!$AB$21,'standardized values'!$AD$21)</f>
        <v>-0.47063619251152394</v>
      </c>
      <c r="L51" s="5">
        <f>STANDARDIZE(Dataset!AM51,'standardized values'!$AB$22,'standardized values'!$AD$22)</f>
        <v>-0.69764621779930613</v>
      </c>
      <c r="M51" s="5">
        <f>STANDARDIZE(Dataset!AN51,'standardized values'!$AB$23,'standardized values'!$AD$23)</f>
        <v>-0.80355453755611705</v>
      </c>
      <c r="N51" s="5">
        <f>STANDARDIZE(Dataset!AO51,'standardized values'!$AB$24,'standardized values'!$AD$24)</f>
        <v>-0.5258160131378592</v>
      </c>
      <c r="O51" s="5">
        <f>STANDARDIZE(Dataset!AP51,'standardized values'!$AB$27,'standardized values'!$AD$27)</f>
        <v>-0.64787945416642512</v>
      </c>
      <c r="P51" s="5">
        <f>STANDARDIZE(Dataset!AQ51,'standardized values'!$AB$28,'standardized values'!$AD$28)</f>
        <v>-0.18209155064513899</v>
      </c>
      <c r="Q51" s="5">
        <f>STANDARDIZE(Dataset!AD51,'standardized values'!$AB$15,'standardized values'!$AD$15)</f>
        <v>-0.70440426777111309</v>
      </c>
      <c r="R51" s="5">
        <f>STANDARDIZE(Dataset!AE51,'standardized values'!$AB$16,'standardized values'!$AD$16)</f>
        <v>-3.5320518514772511E-2</v>
      </c>
      <c r="S51" s="5">
        <f>STANDARDIZE(Dataset!AF51,'standardized values'!$AB$17,'standardized values'!$AD$17)</f>
        <v>1.2200907541925812</v>
      </c>
      <c r="T51" s="5">
        <f>STANDARDIZE(Dataset!AG51,'standardized values'!$AB$18,'standardized values'!$AD$18)</f>
        <v>0.59406733085814667</v>
      </c>
      <c r="U51" s="5">
        <f>STANDARDIZE(Dataset!AH51,'standardized values'!$AB$19,'standardized values'!$AD$19)</f>
        <v>0.22545156751512307</v>
      </c>
      <c r="V51">
        <f>STANDARDIZE(Dataset!AR51,AVERAGE(Dataset!$AR$2:$AR$51),STDEV(Dataset!$AR$2:$AR$51))</f>
        <v>2.026876377424673</v>
      </c>
      <c r="W51">
        <f>STANDARDIZE(Dataset!AS51,AVERAGE(Dataset!$AS$2:$AS$51),STDEV(Dataset!$AS$2:$AS$51))</f>
        <v>1.3552295475143683</v>
      </c>
      <c r="X51">
        <f>STANDARDIZE(Dataset!AT51,AVERAGE(Dataset!$AT$2:$AT$51),STDEV(Dataset!$AT$2:$AT$51))</f>
        <v>1.3845309948679778</v>
      </c>
      <c r="Y51" s="5"/>
      <c r="AH51" s="8" t="s">
        <v>143</v>
      </c>
      <c r="AI51" s="31">
        <f t="shared" si="0"/>
        <v>4.7666369198070191</v>
      </c>
      <c r="AJ51" s="85">
        <f t="shared" si="7"/>
        <v>2.5322612048692443</v>
      </c>
      <c r="AK51" s="85">
        <f t="shared" si="8"/>
        <v>1.7551300490993031</v>
      </c>
      <c r="AL51" s="85">
        <f t="shared" si="9"/>
        <v>-2.0270167684932825</v>
      </c>
      <c r="AM51" s="85">
        <f t="shared" si="11"/>
        <v>-0.82997100481156405</v>
      </c>
      <c r="AN51" s="85">
        <f t="shared" si="10"/>
        <v>2.2501457822736524</v>
      </c>
      <c r="AO51" s="61"/>
    </row>
    <row r="52" spans="1:41" x14ac:dyDescent="0.25">
      <c r="B52" t="s">
        <v>187</v>
      </c>
      <c r="AI52" s="32">
        <f>AVERAGE(AI2:AI51)</f>
        <v>-2.3092638912203257E-16</v>
      </c>
      <c r="AJ52" s="32">
        <f t="shared" ref="AJ52:AN52" si="12">AVERAGE(AJ2:AJ51)</f>
        <v>6.5725203057809266E-16</v>
      </c>
      <c r="AK52" s="32">
        <f t="shared" si="12"/>
        <v>8.2156503822261588E-16</v>
      </c>
      <c r="AL52" s="32">
        <f t="shared" si="12"/>
        <v>8.2600593032111651E-16</v>
      </c>
      <c r="AM52" s="32">
        <f t="shared" si="12"/>
        <v>-2.1760371282653068E-16</v>
      </c>
      <c r="AN52" s="32">
        <f t="shared" si="12"/>
        <v>2.6645352591003756E-16</v>
      </c>
      <c r="AO52" s="32"/>
    </row>
    <row r="53" spans="1:41" x14ac:dyDescent="0.25">
      <c r="AI53" s="8"/>
    </row>
    <row r="54" spans="1:41" x14ac:dyDescent="0.25">
      <c r="AI54" s="8"/>
      <c r="AK54" s="8"/>
      <c r="AL54" s="8"/>
      <c r="AM54" s="8"/>
      <c r="AN54" s="8"/>
      <c r="AO54" s="8"/>
    </row>
    <row r="55" spans="1:41" x14ac:dyDescent="0.25">
      <c r="AI55" s="8"/>
      <c r="AN55"/>
      <c r="AO55"/>
    </row>
    <row r="56" spans="1:41" x14ac:dyDescent="0.25">
      <c r="AI56" s="8"/>
    </row>
    <row r="57" spans="1:41" x14ac:dyDescent="0.25">
      <c r="AI57" s="8"/>
    </row>
  </sheetData>
  <autoFilter ref="B1:B52"/>
  <conditionalFormatting sqref="AF2">
    <cfRule type="cellIs" dxfId="4" priority="1" operator="lessThan">
      <formula>1</formula>
    </cfRule>
    <cfRule type="cellIs" dxfId="3" priority="2" operator="greaterThan">
      <formula>1</formula>
    </cfRule>
    <cfRule type="cellIs" dxfId="2" priority="3" operator="greaterThan">
      <formula>1</formula>
    </cfRule>
    <cfRule type="cellIs" dxfId="1" priority="4" operator="greaterThan">
      <formula>1</formula>
    </cfRule>
    <cfRule type="cellIs" dxfId="0" priority="5" operator="greaterThan">
      <formula>1</formula>
    </cfRule>
  </conditionalFormatting>
  <hyperlinks>
    <hyperlink ref="A12" r:id="rId1"/>
  </hyperlinks>
  <pageMargins left="0.75" right="0.75" top="1" bottom="1" header="0.5" footer="0.5"/>
  <pageSetup orientation="portrait" horizontalDpi="4294967292" verticalDpi="4294967292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6" sqref="M36:N42"/>
    </sheetView>
  </sheetViews>
  <sheetFormatPr defaultRowHeight="15.75" x14ac:dyDescent="0.25"/>
  <cols>
    <col min="1" max="1" width="15.5" customWidth="1"/>
    <col min="2" max="2" width="11.125" bestFit="1" customWidth="1"/>
    <col min="3" max="3" width="13.625" bestFit="1" customWidth="1"/>
    <col min="4" max="4" width="14.625" customWidth="1"/>
    <col min="5" max="5" width="10.875" customWidth="1"/>
    <col min="6" max="6" width="13.875" bestFit="1" customWidth="1"/>
    <col min="7" max="7" width="11.625" customWidth="1"/>
    <col min="8" max="8" width="13.625" bestFit="1" customWidth="1"/>
    <col min="9" max="9" width="15.875" customWidth="1"/>
    <col min="11" max="11" width="13.875" bestFit="1" customWidth="1"/>
    <col min="12" max="12" width="13.25" customWidth="1"/>
    <col min="13" max="13" width="13.625" bestFit="1" customWidth="1"/>
    <col min="14" max="14" width="15" customWidth="1"/>
  </cols>
  <sheetData>
    <row r="1" spans="1:14" x14ac:dyDescent="0.25">
      <c r="A1" t="s">
        <v>145</v>
      </c>
      <c r="B1" s="89" t="s">
        <v>214</v>
      </c>
      <c r="F1" t="s">
        <v>145</v>
      </c>
      <c r="G1" s="89" t="s">
        <v>215</v>
      </c>
      <c r="K1" t="s">
        <v>145</v>
      </c>
      <c r="L1" s="89" t="s">
        <v>216</v>
      </c>
    </row>
    <row r="2" spans="1:14" x14ac:dyDescent="0.25">
      <c r="A2" s="8" t="s">
        <v>156</v>
      </c>
      <c r="B2" s="17">
        <v>0.44122339170245906</v>
      </c>
      <c r="C2" s="77" t="s">
        <v>32</v>
      </c>
      <c r="D2" s="17">
        <f>AVERAGE(B2:B51)</f>
        <v>2.6772995617403681</v>
      </c>
      <c r="F2" s="8" t="s">
        <v>67</v>
      </c>
      <c r="G2" s="17">
        <v>0.96465868149657896</v>
      </c>
      <c r="H2" s="77" t="s">
        <v>32</v>
      </c>
      <c r="I2" s="17">
        <f>AVERAGE(G2:G51)</f>
        <v>3.6618602566019458</v>
      </c>
      <c r="K2" s="8" t="s">
        <v>156</v>
      </c>
      <c r="L2" s="17">
        <v>1.1091158870001576</v>
      </c>
      <c r="M2" s="77" t="s">
        <v>32</v>
      </c>
      <c r="N2" s="17">
        <f>AVERAGE(L2:L51)</f>
        <v>3.9346128736049866</v>
      </c>
    </row>
    <row r="3" spans="1:14" x14ac:dyDescent="0.25">
      <c r="A3" s="8" t="s">
        <v>85</v>
      </c>
      <c r="B3" s="17">
        <v>0.45168049773851948</v>
      </c>
      <c r="C3" s="77" t="s">
        <v>228</v>
      </c>
      <c r="D3" s="17">
        <f>STDEV(B2:B51)</f>
        <v>3.6080063006690843</v>
      </c>
      <c r="F3" s="8" t="s">
        <v>156</v>
      </c>
      <c r="G3" s="17">
        <v>1.0434598092567804</v>
      </c>
      <c r="H3" s="77" t="s">
        <v>228</v>
      </c>
      <c r="I3" s="17">
        <f>STDEV(G2:G51)</f>
        <v>3.799330669861873</v>
      </c>
      <c r="K3" s="8" t="s">
        <v>85</v>
      </c>
      <c r="L3" s="17">
        <v>1.109993955471015</v>
      </c>
      <c r="M3" s="77" t="s">
        <v>228</v>
      </c>
      <c r="N3" s="17">
        <f>STDEV(L2:L51)</f>
        <v>3.8244347994246004</v>
      </c>
    </row>
    <row r="4" spans="1:14" x14ac:dyDescent="0.25">
      <c r="A4" s="8" t="s">
        <v>67</v>
      </c>
      <c r="B4" s="17">
        <v>0.52410253663108808</v>
      </c>
      <c r="C4" s="77" t="s">
        <v>209</v>
      </c>
      <c r="D4" s="17">
        <f>D3*2</f>
        <v>7.2160126013381687</v>
      </c>
      <c r="F4" s="8" t="s">
        <v>119</v>
      </c>
      <c r="G4" s="17">
        <v>1.0743249723955419</v>
      </c>
      <c r="H4" s="77" t="s">
        <v>209</v>
      </c>
      <c r="I4" s="17">
        <f>I3*2</f>
        <v>7.5986613397237459</v>
      </c>
      <c r="K4" s="8" t="s">
        <v>67</v>
      </c>
      <c r="L4" s="17">
        <v>1.3425875398889273</v>
      </c>
      <c r="M4" s="77" t="s">
        <v>209</v>
      </c>
      <c r="N4" s="17">
        <f>N3*2</f>
        <v>7.6488695988492008</v>
      </c>
    </row>
    <row r="5" spans="1:14" x14ac:dyDescent="0.25">
      <c r="A5" s="8" t="s">
        <v>83</v>
      </c>
      <c r="B5" s="17">
        <v>0.54768953407131493</v>
      </c>
      <c r="F5" s="8" t="s">
        <v>85</v>
      </c>
      <c r="G5" s="17">
        <v>1.1025964669175603</v>
      </c>
      <c r="K5" s="8" t="s">
        <v>119</v>
      </c>
      <c r="L5" s="17">
        <v>1.3633891596302949</v>
      </c>
    </row>
    <row r="6" spans="1:14" x14ac:dyDescent="0.25">
      <c r="A6" s="8" t="s">
        <v>81</v>
      </c>
      <c r="B6" s="17">
        <v>0.6148413251409387</v>
      </c>
      <c r="F6" s="8" t="s">
        <v>154</v>
      </c>
      <c r="G6" s="17">
        <v>1.1170556190962126</v>
      </c>
      <c r="K6" s="8" t="s">
        <v>152</v>
      </c>
      <c r="L6" s="17">
        <v>1.4212763841254101</v>
      </c>
    </row>
    <row r="7" spans="1:14" x14ac:dyDescent="0.25">
      <c r="A7" s="8" t="s">
        <v>101</v>
      </c>
      <c r="B7" s="17">
        <v>0.61810455342856596</v>
      </c>
      <c r="C7" t="s">
        <v>36</v>
      </c>
      <c r="D7" s="17">
        <f>MIN(B2:B51)</f>
        <v>0.44122339170245906</v>
      </c>
      <c r="F7" s="8" t="s">
        <v>152</v>
      </c>
      <c r="G7" s="17">
        <v>1.2340165513788215</v>
      </c>
      <c r="H7" t="s">
        <v>36</v>
      </c>
      <c r="I7" s="17">
        <f>MIN(G2:G51)</f>
        <v>0.96465868149657896</v>
      </c>
      <c r="K7" s="8" t="s">
        <v>83</v>
      </c>
      <c r="L7" s="17">
        <v>1.4802318871923892</v>
      </c>
      <c r="M7" t="s">
        <v>36</v>
      </c>
      <c r="N7" s="17">
        <f>MIN(L2:L51)</f>
        <v>1.1091158870001576</v>
      </c>
    </row>
    <row r="8" spans="1:14" x14ac:dyDescent="0.25">
      <c r="A8" s="8" t="s">
        <v>119</v>
      </c>
      <c r="B8" s="17">
        <v>0.71494444943681701</v>
      </c>
      <c r="C8" t="s">
        <v>218</v>
      </c>
      <c r="D8" s="17">
        <f>_xlfn.QUARTILE.INC(B2:B51,1)</f>
        <v>0.96388325630880056</v>
      </c>
      <c r="F8" s="8" t="s">
        <v>81</v>
      </c>
      <c r="G8" s="17">
        <v>1.2857116242328945</v>
      </c>
      <c r="H8" t="s">
        <v>218</v>
      </c>
      <c r="I8" s="17">
        <f>_xlfn.QUARTILE.INC(G2:G51,1)</f>
        <v>1.7522938899800171</v>
      </c>
      <c r="K8" s="8" t="s">
        <v>154</v>
      </c>
      <c r="L8" s="17">
        <v>1.5423449459672351</v>
      </c>
      <c r="M8" t="s">
        <v>218</v>
      </c>
      <c r="N8" s="17">
        <f>_xlfn.QUARTILE.INC(L2:L51,1)</f>
        <v>2.037911685831709</v>
      </c>
    </row>
    <row r="9" spans="1:14" x14ac:dyDescent="0.25">
      <c r="A9" s="8" t="s">
        <v>154</v>
      </c>
      <c r="B9" s="17">
        <v>0.74575800805033399</v>
      </c>
      <c r="C9" t="s">
        <v>217</v>
      </c>
      <c r="D9" s="17">
        <f>_xlfn.QUARTILE.INC(B2:B51,2)</f>
        <v>1.7034546210914097</v>
      </c>
      <c r="F9" s="8" t="s">
        <v>83</v>
      </c>
      <c r="G9" s="17">
        <v>1.3327228074503308</v>
      </c>
      <c r="H9" t="s">
        <v>217</v>
      </c>
      <c r="I9" s="17">
        <f>_xlfn.QUARTILE.INC(G2:G51,2)</f>
        <v>2.4531143049988158</v>
      </c>
      <c r="K9" s="8" t="s">
        <v>107</v>
      </c>
      <c r="L9" s="17">
        <v>1.7642771164905711</v>
      </c>
      <c r="M9" t="s">
        <v>217</v>
      </c>
      <c r="N9" s="17">
        <f>_xlfn.QUARTILE.INC(L2:L51,2)</f>
        <v>2.7652542429342217</v>
      </c>
    </row>
    <row r="10" spans="1:14" x14ac:dyDescent="0.25">
      <c r="A10" s="8" t="s">
        <v>121</v>
      </c>
      <c r="B10" s="17">
        <v>0.77642787137570834</v>
      </c>
      <c r="C10" t="s">
        <v>219</v>
      </c>
      <c r="D10" s="17">
        <f>_xlfn.QUARTILE.INC(B2:B51,3)</f>
        <v>3.1250070821676319</v>
      </c>
      <c r="F10" s="8" t="s">
        <v>101</v>
      </c>
      <c r="G10" s="17">
        <v>1.3606524588899813</v>
      </c>
      <c r="H10" t="s">
        <v>219</v>
      </c>
      <c r="I10" s="17">
        <f>_xlfn.QUARTILE.INC(G2:G51,3)</f>
        <v>4.444372887892075</v>
      </c>
      <c r="K10" s="8" t="s">
        <v>121</v>
      </c>
      <c r="L10" s="17">
        <v>1.8713536383306208</v>
      </c>
      <c r="M10" t="s">
        <v>219</v>
      </c>
      <c r="N10" s="17">
        <f>_xlfn.QUARTILE.INC(L2:L51,3)</f>
        <v>4.5724029255195537</v>
      </c>
    </row>
    <row r="11" spans="1:14" x14ac:dyDescent="0.25">
      <c r="A11" s="8" t="s">
        <v>107</v>
      </c>
      <c r="B11" s="17">
        <v>0.79008960813160356</v>
      </c>
      <c r="C11" t="s">
        <v>35</v>
      </c>
      <c r="D11" s="17">
        <f>MAX(B2:B51)</f>
        <v>24.687711248251919</v>
      </c>
      <c r="F11" s="8" t="s">
        <v>121</v>
      </c>
      <c r="G11" s="17">
        <v>1.4606740195377221</v>
      </c>
      <c r="H11" t="s">
        <v>35</v>
      </c>
      <c r="I11" s="17">
        <f>MAX(G2:G51)</f>
        <v>25.128892220776599</v>
      </c>
      <c r="K11" s="8" t="s">
        <v>81</v>
      </c>
      <c r="L11" s="17">
        <v>1.9517082186013064</v>
      </c>
      <c r="M11" t="s">
        <v>35</v>
      </c>
      <c r="N11" s="17">
        <f>MAX(L2:L51)</f>
        <v>25.720432202269549</v>
      </c>
    </row>
    <row r="12" spans="1:14" x14ac:dyDescent="0.25">
      <c r="A12" s="8" t="s">
        <v>77</v>
      </c>
      <c r="B12" s="17">
        <v>0.8380538388041221</v>
      </c>
      <c r="F12" s="8" t="s">
        <v>87</v>
      </c>
      <c r="G12" s="17">
        <v>1.7076603436960289</v>
      </c>
      <c r="K12" s="8" t="s">
        <v>139</v>
      </c>
      <c r="L12" s="17">
        <v>1.9543193526792211</v>
      </c>
    </row>
    <row r="13" spans="1:14" x14ac:dyDescent="0.25">
      <c r="A13" s="8" t="s">
        <v>103</v>
      </c>
      <c r="B13" s="17">
        <v>0.84311069036728037</v>
      </c>
      <c r="C13" t="s">
        <v>220</v>
      </c>
      <c r="D13" s="93">
        <f>D10-D8</f>
        <v>2.1611238258588314</v>
      </c>
      <c r="F13" s="8" t="s">
        <v>139</v>
      </c>
      <c r="G13" s="17">
        <v>1.7155153243880432</v>
      </c>
      <c r="H13" t="s">
        <v>220</v>
      </c>
      <c r="I13" s="93">
        <f>I10-I8</f>
        <v>2.6920789979120578</v>
      </c>
      <c r="K13" s="8" t="s">
        <v>141</v>
      </c>
      <c r="L13" s="17">
        <v>1.9554118913931882</v>
      </c>
      <c r="M13" t="s">
        <v>220</v>
      </c>
      <c r="N13" s="93">
        <f>N10-N8</f>
        <v>2.5344912396878447</v>
      </c>
    </row>
    <row r="14" spans="1:14" x14ac:dyDescent="0.25">
      <c r="A14" s="8" t="s">
        <v>152</v>
      </c>
      <c r="B14" s="17">
        <v>0.96032959806009344</v>
      </c>
      <c r="C14" t="s">
        <v>223</v>
      </c>
      <c r="D14" s="93"/>
      <c r="F14" s="8" t="s">
        <v>107</v>
      </c>
      <c r="G14" s="17">
        <v>1.7502674869600108</v>
      </c>
      <c r="H14" t="s">
        <v>223</v>
      </c>
      <c r="I14" s="93"/>
      <c r="K14" s="8" t="s">
        <v>155</v>
      </c>
      <c r="L14" s="17">
        <v>2.0155005162934279</v>
      </c>
      <c r="M14" t="s">
        <v>223</v>
      </c>
      <c r="N14" s="93"/>
    </row>
    <row r="15" spans="1:14" x14ac:dyDescent="0.25">
      <c r="A15" s="8" t="s">
        <v>141</v>
      </c>
      <c r="B15" s="17">
        <v>0.97454423105492183</v>
      </c>
      <c r="C15" t="s">
        <v>221</v>
      </c>
      <c r="D15" s="93">
        <f>D8-(D13*1.5)</f>
        <v>-2.2778024824794465</v>
      </c>
      <c r="F15" s="8" t="s">
        <v>155</v>
      </c>
      <c r="G15" s="17">
        <v>1.7583730990400366</v>
      </c>
      <c r="H15" t="s">
        <v>221</v>
      </c>
      <c r="I15" s="93">
        <f>I8-(I13*1.5)</f>
        <v>-2.2858246068880699</v>
      </c>
      <c r="K15" s="8" t="s">
        <v>103</v>
      </c>
      <c r="L15" s="17">
        <v>2.105145194446552</v>
      </c>
      <c r="M15" t="s">
        <v>221</v>
      </c>
      <c r="N15" s="93">
        <f>N8-(N13*1.5)</f>
        <v>-1.7638251737000581</v>
      </c>
    </row>
    <row r="16" spans="1:14" x14ac:dyDescent="0.25">
      <c r="A16" s="8" t="s">
        <v>87</v>
      </c>
      <c r="B16" s="17">
        <v>1.0114500954795691</v>
      </c>
      <c r="C16" t="s">
        <v>222</v>
      </c>
      <c r="D16" s="93">
        <f>D10+(D13*1.5)</f>
        <v>6.3666928209558789</v>
      </c>
      <c r="F16" s="8" t="s">
        <v>77</v>
      </c>
      <c r="G16" s="17">
        <v>1.7592963880741792</v>
      </c>
      <c r="H16" t="s">
        <v>222</v>
      </c>
      <c r="I16" s="93">
        <f>I10+(I13*1.5)</f>
        <v>8.4824913847601628</v>
      </c>
      <c r="K16" s="8" t="s">
        <v>133</v>
      </c>
      <c r="L16" s="17">
        <v>2.2163831430079388</v>
      </c>
      <c r="M16" t="s">
        <v>222</v>
      </c>
      <c r="N16" s="93">
        <f>N10+(N13*1.5)</f>
        <v>8.3741397850513213</v>
      </c>
    </row>
    <row r="17" spans="1:14" x14ac:dyDescent="0.25">
      <c r="A17" s="8" t="s">
        <v>75</v>
      </c>
      <c r="B17" s="17">
        <v>1.2188099977280973</v>
      </c>
      <c r="C17" t="s">
        <v>224</v>
      </c>
      <c r="D17" s="93"/>
      <c r="F17" s="8" t="s">
        <v>141</v>
      </c>
      <c r="G17" s="17">
        <v>1.9109844143367991</v>
      </c>
      <c r="H17" t="s">
        <v>224</v>
      </c>
      <c r="I17" s="93"/>
      <c r="K17" s="8" t="s">
        <v>77</v>
      </c>
      <c r="L17" s="17">
        <v>2.2333009459967279</v>
      </c>
      <c r="M17" t="s">
        <v>224</v>
      </c>
      <c r="N17" s="93"/>
    </row>
    <row r="18" spans="1:14" x14ac:dyDescent="0.25">
      <c r="A18" s="8" t="s">
        <v>155</v>
      </c>
      <c r="B18" s="17">
        <v>1.2456252466585094</v>
      </c>
      <c r="C18" t="s">
        <v>221</v>
      </c>
      <c r="D18" s="93">
        <f>D8-(D13*3)</f>
        <v>-5.519488221267693</v>
      </c>
      <c r="F18" s="8" t="s">
        <v>105</v>
      </c>
      <c r="G18" s="17">
        <v>1.9858943309799293</v>
      </c>
      <c r="H18" t="s">
        <v>221</v>
      </c>
      <c r="I18" s="93">
        <f>I8-(I13*3)</f>
        <v>-6.3239431037561573</v>
      </c>
      <c r="K18" s="8" t="s">
        <v>87</v>
      </c>
      <c r="L18" s="17">
        <v>2.2842328286972573</v>
      </c>
      <c r="M18" t="s">
        <v>221</v>
      </c>
      <c r="N18" s="93">
        <f>N8-(N13*3)</f>
        <v>-5.5655620332318252</v>
      </c>
    </row>
    <row r="19" spans="1:14" x14ac:dyDescent="0.25">
      <c r="A19" s="8" t="s">
        <v>109</v>
      </c>
      <c r="B19" s="17">
        <v>1.2758810144468535</v>
      </c>
      <c r="C19" s="10" t="s">
        <v>222</v>
      </c>
      <c r="D19" s="93">
        <f>D10+(D13*3)</f>
        <v>9.6083785597441249</v>
      </c>
      <c r="F19" s="8" t="s">
        <v>129</v>
      </c>
      <c r="G19" s="17">
        <v>1.9904865255789781</v>
      </c>
      <c r="H19" s="10" t="s">
        <v>222</v>
      </c>
      <c r="I19" s="17">
        <f>I10+(I13*3)</f>
        <v>12.52060988162825</v>
      </c>
      <c r="K19" s="8" t="s">
        <v>129</v>
      </c>
      <c r="L19" s="17">
        <v>2.3122748963429562</v>
      </c>
      <c r="M19" s="10" t="s">
        <v>222</v>
      </c>
      <c r="N19" s="17">
        <f>N10+(N13*3)</f>
        <v>12.175876644583088</v>
      </c>
    </row>
    <row r="20" spans="1:14" x14ac:dyDescent="0.25">
      <c r="A20" s="8" t="s">
        <v>133</v>
      </c>
      <c r="B20" s="17">
        <v>1.281968329530015</v>
      </c>
      <c r="F20" s="8" t="s">
        <v>103</v>
      </c>
      <c r="G20" s="17">
        <v>2.0960585028406951</v>
      </c>
      <c r="K20" s="8" t="s">
        <v>75</v>
      </c>
      <c r="L20" s="17">
        <v>2.3472545582166582</v>
      </c>
    </row>
    <row r="21" spans="1:14" x14ac:dyDescent="0.25">
      <c r="A21" s="8" t="s">
        <v>73</v>
      </c>
      <c r="B21" s="17">
        <v>1.4141115969168283</v>
      </c>
      <c r="F21" s="8" t="s">
        <v>133</v>
      </c>
      <c r="G21" s="17">
        <v>2.180477588790271</v>
      </c>
      <c r="K21" s="8" t="s">
        <v>105</v>
      </c>
      <c r="L21" s="17">
        <v>2.4054804055852985</v>
      </c>
    </row>
    <row r="22" spans="1:14" x14ac:dyDescent="0.25">
      <c r="A22" s="8" t="s">
        <v>139</v>
      </c>
      <c r="B22" s="17">
        <v>1.4463669703408331</v>
      </c>
      <c r="F22" s="8" t="s">
        <v>79</v>
      </c>
      <c r="G22" s="17">
        <v>2.1892530128700352</v>
      </c>
      <c r="K22" s="8" t="s">
        <v>73</v>
      </c>
      <c r="L22" s="17">
        <v>2.4350778560150941</v>
      </c>
    </row>
    <row r="23" spans="1:14" x14ac:dyDescent="0.25">
      <c r="A23" s="8" t="s">
        <v>105</v>
      </c>
      <c r="B23" s="17">
        <v>1.4644715105518258</v>
      </c>
      <c r="F23" s="8" t="s">
        <v>109</v>
      </c>
      <c r="G23" s="17">
        <v>2.2621430067970865</v>
      </c>
      <c r="K23" s="8" t="s">
        <v>109</v>
      </c>
      <c r="L23" s="17">
        <v>2.4580497478500254</v>
      </c>
    </row>
    <row r="24" spans="1:14" x14ac:dyDescent="0.25">
      <c r="A24" s="8" t="s">
        <v>129</v>
      </c>
      <c r="B24" s="17">
        <v>1.4812255720912708</v>
      </c>
      <c r="F24" s="8" t="s">
        <v>75</v>
      </c>
      <c r="G24" s="17">
        <v>2.3212348299633443</v>
      </c>
      <c r="K24" s="8" t="s">
        <v>135</v>
      </c>
      <c r="L24" s="17">
        <v>2.4582234007253261</v>
      </c>
    </row>
    <row r="25" spans="1:14" x14ac:dyDescent="0.25">
      <c r="A25" s="8" t="s">
        <v>79</v>
      </c>
      <c r="B25" s="17">
        <v>1.6237136706647906</v>
      </c>
      <c r="F25" s="8" t="s">
        <v>73</v>
      </c>
      <c r="G25" s="17">
        <v>2.3372685008656946</v>
      </c>
      <c r="K25" s="8" t="s">
        <v>101</v>
      </c>
      <c r="L25" s="17">
        <v>2.5116618953983769</v>
      </c>
    </row>
    <row r="26" spans="1:14" x14ac:dyDescent="0.25">
      <c r="A26" s="8" t="s">
        <v>135</v>
      </c>
      <c r="B26" s="94">
        <v>1.6818898932664057</v>
      </c>
      <c r="C26" s="17"/>
      <c r="F26" s="8" t="s">
        <v>135</v>
      </c>
      <c r="G26" s="94">
        <v>2.3864107221873345</v>
      </c>
      <c r="H26" s="17"/>
      <c r="K26" s="8" t="s">
        <v>89</v>
      </c>
      <c r="L26" s="94">
        <v>2.7318061781580463</v>
      </c>
      <c r="M26" s="17"/>
    </row>
    <row r="27" spans="1:14" x14ac:dyDescent="0.25">
      <c r="A27" s="8" t="s">
        <v>137</v>
      </c>
      <c r="B27" s="94">
        <v>1.7250193489164136</v>
      </c>
      <c r="F27" s="8" t="s">
        <v>91</v>
      </c>
      <c r="G27" s="94">
        <v>2.5198178878102966</v>
      </c>
      <c r="K27" s="8" t="s">
        <v>91</v>
      </c>
      <c r="L27" s="94">
        <v>2.7987023077103967</v>
      </c>
    </row>
    <row r="28" spans="1:14" x14ac:dyDescent="0.25">
      <c r="A28" s="8" t="s">
        <v>70</v>
      </c>
      <c r="B28" s="17">
        <v>1.7591770594988012</v>
      </c>
      <c r="F28" s="8" t="s">
        <v>70</v>
      </c>
      <c r="G28" s="17">
        <v>2.5471572968484404</v>
      </c>
      <c r="K28" s="8" t="s">
        <v>79</v>
      </c>
      <c r="L28" s="17">
        <v>2.8112960615756553</v>
      </c>
    </row>
    <row r="29" spans="1:14" x14ac:dyDescent="0.25">
      <c r="A29" s="8" t="s">
        <v>159</v>
      </c>
      <c r="B29" s="17">
        <v>1.8610540512710023</v>
      </c>
      <c r="F29" s="8" t="s">
        <v>89</v>
      </c>
      <c r="G29" s="17">
        <v>2.7123547673654032</v>
      </c>
      <c r="K29" s="8" t="s">
        <v>159</v>
      </c>
      <c r="L29" s="17">
        <v>2.9565339059822509</v>
      </c>
    </row>
    <row r="30" spans="1:14" x14ac:dyDescent="0.25">
      <c r="A30" s="8" t="s">
        <v>99</v>
      </c>
      <c r="B30" s="17">
        <v>1.9848647703364963</v>
      </c>
      <c r="F30" s="8" t="s">
        <v>159</v>
      </c>
      <c r="G30" s="17">
        <v>2.8626119967655894</v>
      </c>
      <c r="K30" s="8" t="s">
        <v>70</v>
      </c>
      <c r="L30" s="17">
        <v>3.0626826392196982</v>
      </c>
    </row>
    <row r="31" spans="1:14" x14ac:dyDescent="0.25">
      <c r="A31" s="8" t="s">
        <v>89</v>
      </c>
      <c r="B31" s="17">
        <v>2.0436007273303569</v>
      </c>
      <c r="F31" s="8" t="s">
        <v>137</v>
      </c>
      <c r="G31" s="17">
        <v>2.8848224182020048</v>
      </c>
      <c r="K31" s="8" t="s">
        <v>123</v>
      </c>
      <c r="L31" s="17">
        <v>3.3192648338495783</v>
      </c>
    </row>
    <row r="32" spans="1:14" x14ac:dyDescent="0.25">
      <c r="A32" s="8" t="s">
        <v>91</v>
      </c>
      <c r="B32" s="17">
        <v>2.1984924194463873</v>
      </c>
      <c r="F32" s="8" t="s">
        <v>123</v>
      </c>
      <c r="G32" s="17">
        <v>3.0352832723099508</v>
      </c>
      <c r="K32" s="8" t="s">
        <v>157</v>
      </c>
      <c r="L32" s="17">
        <v>3.3629038776226787</v>
      </c>
    </row>
    <row r="33" spans="1:14" x14ac:dyDescent="0.25">
      <c r="A33" s="8" t="s">
        <v>123</v>
      </c>
      <c r="B33" s="17">
        <v>2.2625874815880715</v>
      </c>
      <c r="F33" s="8" t="s">
        <v>157</v>
      </c>
      <c r="G33" s="17">
        <v>3.3176152587400543</v>
      </c>
      <c r="K33" s="8" t="s">
        <v>99</v>
      </c>
      <c r="L33" s="17">
        <v>3.388599772659274</v>
      </c>
    </row>
    <row r="34" spans="1:14" x14ac:dyDescent="0.25">
      <c r="A34" s="8" t="s">
        <v>157</v>
      </c>
      <c r="B34" s="17">
        <v>2.3011176404338061</v>
      </c>
      <c r="F34" s="8" t="s">
        <v>99</v>
      </c>
      <c r="G34" s="17">
        <v>3.3451361754294759</v>
      </c>
      <c r="K34" s="8" t="s">
        <v>137</v>
      </c>
      <c r="L34" s="17">
        <v>3.5915725312210101</v>
      </c>
    </row>
    <row r="35" spans="1:14" x14ac:dyDescent="0.25">
      <c r="A35" s="8" t="s">
        <v>93</v>
      </c>
      <c r="B35" s="17">
        <v>2.6294862472307678</v>
      </c>
      <c r="F35" s="8" t="s">
        <v>117</v>
      </c>
      <c r="G35" s="17">
        <v>3.3474114233172139</v>
      </c>
      <c r="K35" s="8" t="s">
        <v>117</v>
      </c>
      <c r="L35" s="17">
        <v>3.5917903038385126</v>
      </c>
    </row>
    <row r="36" spans="1:14" x14ac:dyDescent="0.25">
      <c r="A36" s="8" t="s">
        <v>160</v>
      </c>
      <c r="B36" s="17">
        <v>2.63843548618877</v>
      </c>
      <c r="F36" s="8" t="s">
        <v>160</v>
      </c>
      <c r="G36" s="17">
        <v>3.5166717031967871</v>
      </c>
      <c r="K36" s="8" t="s">
        <v>160</v>
      </c>
      <c r="L36" s="17">
        <v>3.7193412809975759</v>
      </c>
    </row>
    <row r="37" spans="1:14" x14ac:dyDescent="0.25">
      <c r="A37" s="8" t="s">
        <v>117</v>
      </c>
      <c r="B37" s="17">
        <v>2.7066494884055228</v>
      </c>
      <c r="F37" s="8" t="s">
        <v>115</v>
      </c>
      <c r="G37" s="17">
        <v>3.7661178471761985</v>
      </c>
      <c r="K37" s="8" t="s">
        <v>115</v>
      </c>
      <c r="L37" s="17">
        <v>3.827064303747671</v>
      </c>
    </row>
    <row r="38" spans="1:14" x14ac:dyDescent="0.25">
      <c r="A38" s="8" t="s">
        <v>153</v>
      </c>
      <c r="B38" s="17">
        <v>3.0662772711350068</v>
      </c>
      <c r="F38" s="8" t="s">
        <v>153</v>
      </c>
      <c r="G38" s="17">
        <v>3.7852906100311334</v>
      </c>
      <c r="K38" s="8" t="s">
        <v>153</v>
      </c>
      <c r="L38" s="17">
        <v>3.9764012363345613</v>
      </c>
    </row>
    <row r="39" spans="1:14" x14ac:dyDescent="0.25">
      <c r="A39" s="8" t="s">
        <v>115</v>
      </c>
      <c r="B39" s="17">
        <v>3.1445836858451734</v>
      </c>
      <c r="F39" s="8" t="s">
        <v>97</v>
      </c>
      <c r="G39" s="17">
        <v>4.6640669805123887</v>
      </c>
      <c r="K39" s="8" t="s">
        <v>97</v>
      </c>
      <c r="L39" s="17">
        <v>4.7710701552478847</v>
      </c>
    </row>
    <row r="40" spans="1:14" x14ac:dyDescent="0.25">
      <c r="A40" s="8" t="s">
        <v>97</v>
      </c>
      <c r="B40" s="17">
        <v>3.5915868351522646</v>
      </c>
      <c r="D40" s="17"/>
      <c r="F40" s="8" t="s">
        <v>150</v>
      </c>
      <c r="G40" s="17">
        <v>4.7744498845766667</v>
      </c>
      <c r="I40" s="17"/>
      <c r="K40" s="8" t="s">
        <v>93</v>
      </c>
      <c r="L40" s="17">
        <v>5.2243975803311997</v>
      </c>
      <c r="N40" s="17"/>
    </row>
    <row r="41" spans="1:14" x14ac:dyDescent="0.25">
      <c r="A41" s="8" t="s">
        <v>127</v>
      </c>
      <c r="B41" s="17">
        <v>3.7153028691697743</v>
      </c>
      <c r="F41" s="8" t="s">
        <v>65</v>
      </c>
      <c r="G41" s="17">
        <v>4.8859829960123395</v>
      </c>
      <c r="K41" s="8" t="s">
        <v>127</v>
      </c>
      <c r="L41" s="17">
        <v>5.2934958662240694</v>
      </c>
    </row>
    <row r="42" spans="1:14" x14ac:dyDescent="0.25">
      <c r="A42" s="8" t="s">
        <v>65</v>
      </c>
      <c r="B42" s="17">
        <v>3.839543885168744</v>
      </c>
      <c r="D42" s="17"/>
      <c r="F42" s="8" t="s">
        <v>113</v>
      </c>
      <c r="G42" s="17">
        <v>5.0663356882986772</v>
      </c>
      <c r="I42" s="17"/>
      <c r="K42" s="8" t="s">
        <v>113</v>
      </c>
      <c r="L42" s="17">
        <v>5.4166904524087238</v>
      </c>
      <c r="N42" s="17"/>
    </row>
    <row r="43" spans="1:14" x14ac:dyDescent="0.25">
      <c r="A43" s="8" t="s">
        <v>113</v>
      </c>
      <c r="B43" s="17">
        <v>4.0263321849521212</v>
      </c>
      <c r="F43" s="8" t="s">
        <v>93</v>
      </c>
      <c r="G43" s="17">
        <v>5.1674229897598192</v>
      </c>
      <c r="K43" s="8" t="s">
        <v>65</v>
      </c>
      <c r="L43" s="17">
        <v>5.4745466857271836</v>
      </c>
    </row>
    <row r="44" spans="1:14" x14ac:dyDescent="0.25">
      <c r="A44" s="8" t="s">
        <v>131</v>
      </c>
      <c r="B44" s="17">
        <v>4.0491885851150062</v>
      </c>
      <c r="F44" s="8" t="s">
        <v>127</v>
      </c>
      <c r="G44" s="17">
        <v>5.2136520286205021</v>
      </c>
      <c r="K44" s="8" t="s">
        <v>150</v>
      </c>
      <c r="L44" s="17">
        <v>5.5348064764694342</v>
      </c>
    </row>
    <row r="45" spans="1:14" x14ac:dyDescent="0.25">
      <c r="A45" s="8" t="s">
        <v>150</v>
      </c>
      <c r="B45" s="17">
        <v>4.1295309840257932</v>
      </c>
      <c r="F45" s="8" t="s">
        <v>95</v>
      </c>
      <c r="G45" s="17">
        <v>5.7892827656472328</v>
      </c>
      <c r="K45" s="8" t="s">
        <v>95</v>
      </c>
      <c r="L45" s="17">
        <v>6.3084553463207262</v>
      </c>
    </row>
    <row r="46" spans="1:14" x14ac:dyDescent="0.25">
      <c r="A46" s="8" t="s">
        <v>95</v>
      </c>
      <c r="B46" s="17">
        <v>4.8462910833172312</v>
      </c>
      <c r="F46" s="9" t="s">
        <v>143</v>
      </c>
      <c r="G46" s="17">
        <v>6.8825861624285913</v>
      </c>
      <c r="I46" s="89" t="s">
        <v>227</v>
      </c>
      <c r="K46" s="9" t="s">
        <v>143</v>
      </c>
      <c r="L46" s="17">
        <v>7.1254232236436374</v>
      </c>
      <c r="N46" s="89" t="s">
        <v>227</v>
      </c>
    </row>
    <row r="47" spans="1:14" x14ac:dyDescent="0.25">
      <c r="A47" s="8" t="s">
        <v>111</v>
      </c>
      <c r="B47" s="17">
        <v>4.9078128419522677</v>
      </c>
      <c r="D47" s="89" t="s">
        <v>227</v>
      </c>
      <c r="F47" s="8" t="s">
        <v>111</v>
      </c>
      <c r="G47" s="17">
        <v>7.4315518646765772</v>
      </c>
      <c r="I47" s="17">
        <f>AVERAGE(G2:G47)</f>
        <v>2.8226699805597013</v>
      </c>
      <c r="K47" s="8" t="s">
        <v>111</v>
      </c>
      <c r="L47" s="17">
        <v>7.4841774452580792</v>
      </c>
      <c r="N47" s="17">
        <f>AVERAGE(L2:L47)</f>
        <v>3.0960786484759528</v>
      </c>
    </row>
    <row r="48" spans="1:14" x14ac:dyDescent="0.25">
      <c r="A48" s="8" t="s">
        <v>125</v>
      </c>
      <c r="B48" s="17">
        <v>6.1353239168962057</v>
      </c>
      <c r="D48" s="17">
        <f>AVERAGE(B2:B48)</f>
        <v>2.0116738913839307</v>
      </c>
      <c r="F48" s="8" t="s">
        <v>125</v>
      </c>
      <c r="G48" s="17">
        <v>8.3587881408408595</v>
      </c>
      <c r="H48" t="s">
        <v>225</v>
      </c>
      <c r="I48" s="17">
        <f>AVERAGE(G2:G48)</f>
        <v>2.9404597286507896</v>
      </c>
      <c r="K48" s="8" t="s">
        <v>125</v>
      </c>
      <c r="L48" s="17">
        <v>8.5145330215873418</v>
      </c>
      <c r="M48" t="s">
        <v>225</v>
      </c>
      <c r="N48" s="17">
        <f>AVERAGE(L2:L48)</f>
        <v>3.211364911733642</v>
      </c>
    </row>
    <row r="49" spans="1:14" x14ac:dyDescent="0.25">
      <c r="A49" s="9" t="s">
        <v>143</v>
      </c>
      <c r="B49" s="17">
        <v>6.438779337345534</v>
      </c>
      <c r="C49" t="s">
        <v>225</v>
      </c>
      <c r="D49" s="17">
        <f>AVERAGE(B2:B49)</f>
        <v>2.1039052548414641</v>
      </c>
      <c r="F49" s="8" t="s">
        <v>131</v>
      </c>
      <c r="G49" s="17">
        <v>9.7691810156125687</v>
      </c>
      <c r="H49" t="s">
        <v>225</v>
      </c>
      <c r="I49" s="17">
        <f>AVERAGE(G2:G49)</f>
        <v>3.0827247554624932</v>
      </c>
      <c r="K49" s="8" t="s">
        <v>158</v>
      </c>
      <c r="L49" s="17">
        <v>10.006405198911164</v>
      </c>
      <c r="M49" t="s">
        <v>225</v>
      </c>
      <c r="N49" s="17">
        <f>AVERAGE(L2:L49)</f>
        <v>3.3529282510498404</v>
      </c>
    </row>
    <row r="50" spans="1:14" x14ac:dyDescent="0.25">
      <c r="A50" s="8" t="s">
        <v>158</v>
      </c>
      <c r="B50" s="17">
        <v>8.1898146063762205</v>
      </c>
      <c r="C50" t="s">
        <v>225</v>
      </c>
      <c r="D50" s="17">
        <f>AVERAGE(B2:B50)</f>
        <v>2.2281074865054387</v>
      </c>
      <c r="F50" s="8" t="s">
        <v>158</v>
      </c>
      <c r="G50" s="17">
        <v>9.9933323471210098</v>
      </c>
      <c r="H50" t="s">
        <v>225</v>
      </c>
      <c r="I50" s="17">
        <f>AVERAGE(G2:G50)</f>
        <v>3.223757563455524</v>
      </c>
      <c r="K50" s="8" t="s">
        <v>131</v>
      </c>
      <c r="L50" s="17">
        <v>10.069655427587447</v>
      </c>
      <c r="M50" t="s">
        <v>225</v>
      </c>
      <c r="N50" s="17">
        <f>AVERAGE(L2:L50)</f>
        <v>3.4900043158771381</v>
      </c>
    </row>
    <row r="51" spans="1:14" x14ac:dyDescent="0.25">
      <c r="A51" s="81" t="s">
        <v>151</v>
      </c>
      <c r="B51" s="17">
        <v>24.687711248251919</v>
      </c>
      <c r="C51" t="s">
        <v>226</v>
      </c>
      <c r="D51" s="17">
        <f>AVERAGE(B2:B51)</f>
        <v>2.6772995617403681</v>
      </c>
      <c r="F51" s="81" t="s">
        <v>151</v>
      </c>
      <c r="G51" s="17">
        <v>25.128892220776599</v>
      </c>
      <c r="H51" t="s">
        <v>226</v>
      </c>
      <c r="I51" s="17">
        <f>AVERAGE(G2:G51)</f>
        <v>3.6618602566019458</v>
      </c>
      <c r="K51" s="81" t="s">
        <v>151</v>
      </c>
      <c r="L51" s="17">
        <v>25.720432202269549</v>
      </c>
      <c r="M51" t="s">
        <v>226</v>
      </c>
      <c r="N51" s="17">
        <f>AVERAGE(L2:L51)</f>
        <v>3.9346128736049866</v>
      </c>
    </row>
    <row r="52" spans="1:14" x14ac:dyDescent="0.25">
      <c r="A52" s="9"/>
    </row>
    <row r="53" spans="1:14" x14ac:dyDescent="0.25">
      <c r="A53" s="9"/>
    </row>
  </sheetData>
  <sortState ref="A2:D57">
    <sortCondition ref="B1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59"/>
  <sheetViews>
    <sheetView zoomScale="70" zoomScaleNormal="70" workbookViewId="0">
      <pane ySplit="2" topLeftCell="A3" activePane="bottomLeft" state="frozen"/>
      <selection pane="bottomLeft" activeCell="H15" sqref="H15"/>
    </sheetView>
  </sheetViews>
  <sheetFormatPr defaultColWidth="11" defaultRowHeight="15.75" x14ac:dyDescent="0.25"/>
  <cols>
    <col min="1" max="1" width="14.125" customWidth="1"/>
    <col min="2" max="2" width="13.875" bestFit="1" customWidth="1"/>
    <col min="3" max="3" width="12.625" bestFit="1" customWidth="1"/>
    <col min="4" max="4" width="10.25" customWidth="1"/>
    <col min="5" max="5" width="12.875" customWidth="1"/>
    <col min="6" max="6" width="11.125" customWidth="1"/>
    <col min="7" max="7" width="11" style="17"/>
    <col min="8" max="8" width="11" customWidth="1"/>
    <col min="9" max="9" width="12" customWidth="1"/>
    <col min="10" max="10" width="9.875" customWidth="1"/>
    <col min="11" max="11" width="11" style="17"/>
    <col min="12" max="12" width="10" customWidth="1"/>
    <col min="14" max="14" width="14.125" bestFit="1" customWidth="1"/>
    <col min="15" max="15" width="11" style="17"/>
    <col min="18" max="18" width="14.125" bestFit="1" customWidth="1"/>
    <col min="19" max="19" width="11" style="17"/>
    <col min="21" max="21" width="11.125" customWidth="1"/>
    <col min="22" max="22" width="14.125" bestFit="1" customWidth="1"/>
    <col min="23" max="23" width="12.5" bestFit="1" customWidth="1"/>
  </cols>
  <sheetData>
    <row r="1" spans="1:30" x14ac:dyDescent="0.25">
      <c r="T1" s="79"/>
      <c r="U1" s="100" t="s">
        <v>191</v>
      </c>
      <c r="V1" s="100"/>
      <c r="W1" s="100"/>
      <c r="Y1" s="100" t="s">
        <v>192</v>
      </c>
      <c r="Z1" s="100"/>
      <c r="AA1" s="100"/>
    </row>
    <row r="2" spans="1:30" s="43" customFormat="1" ht="47.25" x14ac:dyDescent="0.25">
      <c r="A2" s="42" t="s">
        <v>161</v>
      </c>
      <c r="B2" s="42" t="s">
        <v>145</v>
      </c>
      <c r="C2" s="42" t="s">
        <v>162</v>
      </c>
      <c r="E2" s="42" t="s">
        <v>161</v>
      </c>
      <c r="F2" s="42" t="s">
        <v>145</v>
      </c>
      <c r="G2" s="45" t="s">
        <v>169</v>
      </c>
      <c r="I2" s="44" t="s">
        <v>170</v>
      </c>
      <c r="J2" s="44" t="s">
        <v>145</v>
      </c>
      <c r="K2" s="45" t="s">
        <v>171</v>
      </c>
      <c r="M2" s="42" t="s">
        <v>161</v>
      </c>
      <c r="N2" s="42" t="s">
        <v>145</v>
      </c>
      <c r="O2" s="45" t="s">
        <v>172</v>
      </c>
      <c r="Q2" s="42" t="s">
        <v>161</v>
      </c>
      <c r="R2" s="42" t="s">
        <v>145</v>
      </c>
      <c r="S2" s="45" t="s">
        <v>164</v>
      </c>
      <c r="T2" s="80"/>
      <c r="U2" s="46" t="s">
        <v>161</v>
      </c>
      <c r="V2" s="46" t="s">
        <v>145</v>
      </c>
      <c r="W2" s="45" t="s">
        <v>193</v>
      </c>
      <c r="Y2" s="46" t="s">
        <v>161</v>
      </c>
      <c r="Z2" s="46" t="s">
        <v>145</v>
      </c>
      <c r="AA2" s="45" t="s">
        <v>193</v>
      </c>
    </row>
    <row r="3" spans="1:30" x14ac:dyDescent="0.25">
      <c r="A3" s="8">
        <v>1</v>
      </c>
      <c r="B3" s="8" t="s">
        <v>151</v>
      </c>
      <c r="C3" s="31">
        <v>10.567897846598921</v>
      </c>
      <c r="D3" s="52"/>
      <c r="E3" s="8">
        <v>1</v>
      </c>
      <c r="F3" s="8" t="s">
        <v>111</v>
      </c>
      <c r="G3" s="31">
        <v>5.880482398428823</v>
      </c>
      <c r="H3" s="52"/>
      <c r="I3" s="8">
        <v>1</v>
      </c>
      <c r="J3" s="8" t="s">
        <v>97</v>
      </c>
      <c r="K3" s="31">
        <v>9.8754915847495752</v>
      </c>
      <c r="L3" s="52"/>
      <c r="M3" s="8">
        <v>1</v>
      </c>
      <c r="N3" s="8" t="s">
        <v>101</v>
      </c>
      <c r="O3" s="31">
        <v>5.2590794151890812</v>
      </c>
      <c r="P3" s="8"/>
      <c r="Q3" s="8">
        <v>1</v>
      </c>
      <c r="R3" s="8" t="s">
        <v>115</v>
      </c>
      <c r="S3" s="31">
        <v>6.9084051427694551</v>
      </c>
      <c r="T3" s="52"/>
      <c r="U3" s="8">
        <v>1</v>
      </c>
      <c r="V3" s="8" t="s">
        <v>158</v>
      </c>
      <c r="W3" s="31">
        <v>3.5190282998160933</v>
      </c>
      <c r="X3" s="8"/>
      <c r="Y3" s="8">
        <v>1</v>
      </c>
      <c r="Z3" s="8" t="s">
        <v>97</v>
      </c>
      <c r="AA3" s="31">
        <v>3.2697192869639653</v>
      </c>
      <c r="AB3" s="8"/>
      <c r="AC3" s="8"/>
      <c r="AD3" s="8"/>
    </row>
    <row r="4" spans="1:30" x14ac:dyDescent="0.25">
      <c r="A4" s="8">
        <v>2</v>
      </c>
      <c r="B4" s="8" t="s">
        <v>158</v>
      </c>
      <c r="C4" s="31">
        <v>8.0063251599276803</v>
      </c>
      <c r="D4" s="52"/>
      <c r="E4" s="8">
        <v>2</v>
      </c>
      <c r="F4" s="8" t="s">
        <v>143</v>
      </c>
      <c r="G4" s="31">
        <v>1.7551300490993031</v>
      </c>
      <c r="H4" s="52"/>
      <c r="I4" s="8">
        <v>2</v>
      </c>
      <c r="J4" s="8" t="s">
        <v>115</v>
      </c>
      <c r="K4" s="31">
        <v>4.8462682682405545</v>
      </c>
      <c r="L4" s="52"/>
      <c r="M4" s="8">
        <v>2</v>
      </c>
      <c r="N4" s="8" t="s">
        <v>99</v>
      </c>
      <c r="O4" s="31">
        <v>5.1362006532692437</v>
      </c>
      <c r="P4" s="8"/>
      <c r="Q4" s="8">
        <v>2</v>
      </c>
      <c r="R4" s="8" t="s">
        <v>127</v>
      </c>
      <c r="S4" s="31">
        <v>2.5395332614493067</v>
      </c>
      <c r="T4" s="52"/>
      <c r="U4" s="8">
        <v>2</v>
      </c>
      <c r="V4" s="8" t="s">
        <v>111</v>
      </c>
      <c r="W4" s="31">
        <v>3.4774350226943676</v>
      </c>
      <c r="X4" s="8"/>
      <c r="Y4" s="8">
        <v>2</v>
      </c>
      <c r="Z4" s="8" t="s">
        <v>115</v>
      </c>
      <c r="AA4" s="31">
        <v>2.9513623552903834</v>
      </c>
      <c r="AB4" s="8"/>
      <c r="AC4" s="8"/>
      <c r="AD4" s="8"/>
    </row>
    <row r="5" spans="1:30" x14ac:dyDescent="0.25">
      <c r="A5" s="8">
        <v>3</v>
      </c>
      <c r="B5" s="8" t="s">
        <v>131</v>
      </c>
      <c r="C5" s="31">
        <v>5.8785844661668811</v>
      </c>
      <c r="D5" s="52"/>
      <c r="E5" s="8">
        <v>3</v>
      </c>
      <c r="F5" s="8" t="s">
        <v>156</v>
      </c>
      <c r="G5" s="31">
        <v>1.6077091027219974</v>
      </c>
      <c r="H5" s="52"/>
      <c r="I5" s="8">
        <v>3</v>
      </c>
      <c r="J5" s="8" t="s">
        <v>127</v>
      </c>
      <c r="K5" s="31">
        <v>4.6966773216685986</v>
      </c>
      <c r="L5" s="52"/>
      <c r="M5" s="8">
        <v>3</v>
      </c>
      <c r="N5" s="8" t="s">
        <v>158</v>
      </c>
      <c r="O5" s="31">
        <v>3.7868372198608169</v>
      </c>
      <c r="P5" s="8"/>
      <c r="Q5" s="8">
        <v>3</v>
      </c>
      <c r="R5" s="8" t="s">
        <v>97</v>
      </c>
      <c r="S5" s="31">
        <v>2.161251785532047</v>
      </c>
      <c r="T5" s="52"/>
      <c r="U5" s="8">
        <v>3</v>
      </c>
      <c r="V5" s="8" t="s">
        <v>125</v>
      </c>
      <c r="W5" s="31">
        <v>3.0218096061594206</v>
      </c>
      <c r="X5" s="8"/>
      <c r="Y5" s="8">
        <v>3</v>
      </c>
      <c r="Z5" s="8" t="s">
        <v>125</v>
      </c>
      <c r="AA5" s="31">
        <v>2.8513844823662349</v>
      </c>
      <c r="AB5" s="8"/>
      <c r="AC5" s="8"/>
      <c r="AD5" s="8"/>
    </row>
    <row r="6" spans="1:30" x14ac:dyDescent="0.25">
      <c r="A6" s="8">
        <v>4</v>
      </c>
      <c r="B6" s="8" t="s">
        <v>125</v>
      </c>
      <c r="C6" s="31">
        <v>5.7469005094208452</v>
      </c>
      <c r="D6" s="52"/>
      <c r="E6" s="8">
        <v>4</v>
      </c>
      <c r="F6" s="8" t="s">
        <v>131</v>
      </c>
      <c r="G6" s="31">
        <v>1.5851072698919619</v>
      </c>
      <c r="H6" s="52"/>
      <c r="I6" s="8">
        <v>4</v>
      </c>
      <c r="J6" s="8" t="s">
        <v>125</v>
      </c>
      <c r="K6" s="31">
        <v>4.1864278913889308</v>
      </c>
      <c r="L6" s="52"/>
      <c r="M6" s="8">
        <v>4</v>
      </c>
      <c r="N6" s="8" t="s">
        <v>135</v>
      </c>
      <c r="O6" s="31">
        <v>3.7024058949747536</v>
      </c>
      <c r="P6" s="8"/>
      <c r="Q6" s="8">
        <v>4</v>
      </c>
      <c r="R6" s="8" t="s">
        <v>111</v>
      </c>
      <c r="S6" s="31">
        <v>2.1074634524698652</v>
      </c>
      <c r="T6" s="52"/>
      <c r="U6" s="8">
        <v>4</v>
      </c>
      <c r="V6" s="8" t="s">
        <v>131</v>
      </c>
      <c r="W6" s="31">
        <v>2.8576152045119785</v>
      </c>
      <c r="X6" s="8"/>
      <c r="Y6" s="8">
        <v>4</v>
      </c>
      <c r="Z6" s="8" t="s">
        <v>158</v>
      </c>
      <c r="AA6" s="31">
        <v>2.7073709139250934</v>
      </c>
      <c r="AB6" s="8"/>
      <c r="AC6" s="8"/>
      <c r="AD6" s="8"/>
    </row>
    <row r="7" spans="1:30" x14ac:dyDescent="0.25">
      <c r="A7" s="8">
        <v>5</v>
      </c>
      <c r="B7" s="8" t="s">
        <v>143</v>
      </c>
      <c r="C7" s="31">
        <v>4.7666369198070191</v>
      </c>
      <c r="D7" s="52"/>
      <c r="E7" s="8">
        <v>5</v>
      </c>
      <c r="F7" s="8" t="s">
        <v>109</v>
      </c>
      <c r="G7" s="31">
        <v>1.4339120874237994</v>
      </c>
      <c r="H7" s="52"/>
      <c r="I7" s="8">
        <v>5</v>
      </c>
      <c r="J7" s="8" t="s">
        <v>65</v>
      </c>
      <c r="K7" s="31">
        <v>2.8188620095115917</v>
      </c>
      <c r="L7" s="52"/>
      <c r="M7" s="8">
        <v>5</v>
      </c>
      <c r="N7" s="8" t="s">
        <v>125</v>
      </c>
      <c r="O7" s="31">
        <v>3.0395424261357258</v>
      </c>
      <c r="P7" s="8"/>
      <c r="Q7" s="8">
        <v>5</v>
      </c>
      <c r="R7" s="8" t="s">
        <v>141</v>
      </c>
      <c r="S7" s="31">
        <v>1.9186417354149978</v>
      </c>
      <c r="T7" s="52"/>
      <c r="U7" s="8">
        <v>5</v>
      </c>
      <c r="V7" s="8" t="s">
        <v>143</v>
      </c>
      <c r="W7" s="31">
        <v>2.2501457822736524</v>
      </c>
      <c r="X7" s="8"/>
      <c r="Y7" s="8">
        <v>5</v>
      </c>
      <c r="Z7" s="8" t="s">
        <v>127</v>
      </c>
      <c r="AA7" s="31">
        <v>2.294734829882886</v>
      </c>
      <c r="AB7" s="8"/>
      <c r="AC7" s="8"/>
      <c r="AD7" s="8"/>
    </row>
    <row r="8" spans="1:30" x14ac:dyDescent="0.25">
      <c r="A8" s="8">
        <v>6</v>
      </c>
      <c r="B8" s="8" t="s">
        <v>111</v>
      </c>
      <c r="C8" s="31">
        <v>4.3606179301613954</v>
      </c>
      <c r="D8" s="52"/>
      <c r="E8" s="8">
        <v>6</v>
      </c>
      <c r="F8" s="8" t="s">
        <v>65</v>
      </c>
      <c r="G8" s="31">
        <v>1.146609279458521</v>
      </c>
      <c r="H8" s="52"/>
      <c r="I8" s="8">
        <v>6</v>
      </c>
      <c r="J8" s="8" t="s">
        <v>143</v>
      </c>
      <c r="K8" s="31">
        <v>2.5322612048692443</v>
      </c>
      <c r="L8" s="52"/>
      <c r="M8" s="8">
        <v>6</v>
      </c>
      <c r="N8" s="8" t="s">
        <v>97</v>
      </c>
      <c r="O8" s="31">
        <v>2.7830426569381084</v>
      </c>
      <c r="P8" s="8"/>
      <c r="Q8" s="8">
        <v>6</v>
      </c>
      <c r="R8" s="8" t="s">
        <v>70</v>
      </c>
      <c r="S8" s="31">
        <v>1.620742237896585</v>
      </c>
      <c r="T8" s="52"/>
      <c r="U8" s="8">
        <v>6</v>
      </c>
      <c r="V8" s="8" t="s">
        <v>97</v>
      </c>
      <c r="W8" s="31">
        <v>2.017062245382006</v>
      </c>
      <c r="X8" s="8"/>
      <c r="Y8" s="8">
        <v>6</v>
      </c>
      <c r="Z8" s="8" t="s">
        <v>131</v>
      </c>
      <c r="AA8" s="31">
        <v>1.9833845409945363</v>
      </c>
      <c r="AB8" s="8"/>
      <c r="AC8" s="8"/>
      <c r="AD8" s="8"/>
    </row>
    <row r="9" spans="1:30" x14ac:dyDescent="0.25">
      <c r="A9" s="8">
        <v>7</v>
      </c>
      <c r="B9" s="8" t="s">
        <v>95</v>
      </c>
      <c r="C9" s="31">
        <v>3.2188254043612163</v>
      </c>
      <c r="D9" s="52"/>
      <c r="E9" s="8">
        <v>7</v>
      </c>
      <c r="F9" s="8" t="s">
        <v>95</v>
      </c>
      <c r="G9" s="31">
        <v>0.88406141271535921</v>
      </c>
      <c r="H9" s="52"/>
      <c r="I9" s="8">
        <v>7</v>
      </c>
      <c r="J9" s="8" t="s">
        <v>151</v>
      </c>
      <c r="K9" s="31">
        <v>2.1281107479344308</v>
      </c>
      <c r="L9" s="52"/>
      <c r="M9" s="8">
        <v>7</v>
      </c>
      <c r="N9" s="8" t="s">
        <v>93</v>
      </c>
      <c r="O9" s="31">
        <v>2.628805057313901</v>
      </c>
      <c r="P9" s="8"/>
      <c r="Q9" s="8">
        <v>7</v>
      </c>
      <c r="R9" s="8" t="s">
        <v>109</v>
      </c>
      <c r="S9" s="31">
        <v>0.98759119266664297</v>
      </c>
      <c r="T9" s="52"/>
      <c r="U9" s="8">
        <v>7</v>
      </c>
      <c r="V9" s="8" t="s">
        <v>115</v>
      </c>
      <c r="W9" s="31">
        <v>1.7962971826147749</v>
      </c>
      <c r="X9" s="8"/>
      <c r="Y9" s="8">
        <v>7</v>
      </c>
      <c r="Z9" s="8" t="s">
        <v>111</v>
      </c>
      <c r="AA9" s="31">
        <v>1.8343198810936265</v>
      </c>
      <c r="AB9" s="8"/>
      <c r="AC9" s="8"/>
      <c r="AD9" s="8"/>
    </row>
    <row r="10" spans="1:30" x14ac:dyDescent="0.25">
      <c r="A10" s="8">
        <v>8</v>
      </c>
      <c r="B10" s="8" t="s">
        <v>113</v>
      </c>
      <c r="C10" s="31">
        <v>2.171002041245925</v>
      </c>
      <c r="D10" s="52"/>
      <c r="E10" s="8">
        <v>8</v>
      </c>
      <c r="F10" s="8" t="s">
        <v>121</v>
      </c>
      <c r="G10" s="31">
        <v>0.69912936866513009</v>
      </c>
      <c r="H10" s="52"/>
      <c r="I10" s="8">
        <v>8</v>
      </c>
      <c r="J10" s="8" t="s">
        <v>109</v>
      </c>
      <c r="K10" s="31">
        <v>1.9776100313072291</v>
      </c>
      <c r="L10" s="52"/>
      <c r="M10" s="8">
        <v>8</v>
      </c>
      <c r="N10" s="8" t="s">
        <v>129</v>
      </c>
      <c r="O10" s="31">
        <v>2.0696548848246432</v>
      </c>
      <c r="P10" s="8"/>
      <c r="Q10" s="8">
        <v>8</v>
      </c>
      <c r="R10" s="8" t="s">
        <v>158</v>
      </c>
      <c r="S10" s="31">
        <v>0.97726171521285499</v>
      </c>
      <c r="T10" s="52"/>
      <c r="U10" s="8">
        <v>8</v>
      </c>
      <c r="V10" s="8" t="s">
        <v>127</v>
      </c>
      <c r="W10" s="31">
        <v>1.7214535971806411</v>
      </c>
      <c r="X10" s="8"/>
      <c r="Y10" s="8">
        <v>8</v>
      </c>
      <c r="Z10" s="8" t="s">
        <v>143</v>
      </c>
      <c r="AA10" s="31">
        <v>1.2394080800941438</v>
      </c>
      <c r="AB10" s="8"/>
      <c r="AC10" s="8"/>
      <c r="AD10" s="8"/>
    </row>
    <row r="11" spans="1:30" x14ac:dyDescent="0.25">
      <c r="A11" s="8">
        <v>9</v>
      </c>
      <c r="B11" s="8" t="s">
        <v>150</v>
      </c>
      <c r="C11" s="31">
        <v>2.1558216103692422</v>
      </c>
      <c r="D11" s="52"/>
      <c r="E11" s="8">
        <v>9</v>
      </c>
      <c r="F11" s="8" t="s">
        <v>115</v>
      </c>
      <c r="G11" s="31">
        <v>0.69449254967647156</v>
      </c>
      <c r="H11" s="52"/>
      <c r="I11" s="8">
        <v>9</v>
      </c>
      <c r="J11" s="8" t="s">
        <v>111</v>
      </c>
      <c r="K11" s="31">
        <v>1.5953516852996901</v>
      </c>
      <c r="L11" s="52"/>
      <c r="M11" s="8">
        <v>9</v>
      </c>
      <c r="N11" s="8" t="s">
        <v>127</v>
      </c>
      <c r="O11" s="31">
        <v>1.9411188373397339</v>
      </c>
      <c r="P11" s="8"/>
      <c r="Q11" s="8">
        <v>9</v>
      </c>
      <c r="R11" s="8" t="s">
        <v>157</v>
      </c>
      <c r="S11" s="31">
        <v>0.92911908581420721</v>
      </c>
      <c r="T11" s="52"/>
      <c r="U11" s="8">
        <v>9</v>
      </c>
      <c r="V11" s="8" t="s">
        <v>65</v>
      </c>
      <c r="W11" s="31">
        <v>1.3639781060237477</v>
      </c>
      <c r="X11" s="8"/>
      <c r="Y11" s="8">
        <v>9</v>
      </c>
      <c r="Z11" s="8" t="s">
        <v>65</v>
      </c>
      <c r="AA11" s="31">
        <v>1.1393601828511664</v>
      </c>
      <c r="AB11" s="8"/>
      <c r="AC11" s="8"/>
      <c r="AD11" s="8"/>
    </row>
    <row r="12" spans="1:30" x14ac:dyDescent="0.25">
      <c r="A12" s="8">
        <v>10</v>
      </c>
      <c r="B12" s="8" t="s">
        <v>65</v>
      </c>
      <c r="C12" s="31">
        <v>2.0305827789341384</v>
      </c>
      <c r="D12" s="52"/>
      <c r="E12" s="8">
        <v>10</v>
      </c>
      <c r="F12" s="8" t="s">
        <v>158</v>
      </c>
      <c r="G12" s="31">
        <v>0.65504621148650821</v>
      </c>
      <c r="H12" s="52"/>
      <c r="I12" s="8">
        <v>10</v>
      </c>
      <c r="J12" s="8" t="s">
        <v>73</v>
      </c>
      <c r="K12" s="31">
        <v>1.0858843246097853</v>
      </c>
      <c r="L12" s="52"/>
      <c r="M12" s="8">
        <v>10</v>
      </c>
      <c r="N12" s="8" t="s">
        <v>155</v>
      </c>
      <c r="O12" s="31">
        <v>1.8447044538893906</v>
      </c>
      <c r="P12" s="8"/>
      <c r="Q12" s="8">
        <v>10</v>
      </c>
      <c r="R12" s="8" t="s">
        <v>101</v>
      </c>
      <c r="S12" s="31">
        <v>0.807674262962638</v>
      </c>
      <c r="T12" s="52"/>
      <c r="U12" s="8">
        <v>10</v>
      </c>
      <c r="V12" s="8" t="s">
        <v>95</v>
      </c>
      <c r="W12" s="31">
        <v>1.3243402211084927</v>
      </c>
      <c r="X12" s="8"/>
      <c r="Y12" s="8">
        <v>10</v>
      </c>
      <c r="Z12" s="8" t="s">
        <v>93</v>
      </c>
      <c r="AA12" s="31">
        <v>0.84812993656207691</v>
      </c>
      <c r="AB12" s="8"/>
      <c r="AC12" s="8"/>
      <c r="AD12" s="8"/>
    </row>
    <row r="13" spans="1:30" x14ac:dyDescent="0.25">
      <c r="A13" s="8">
        <v>11</v>
      </c>
      <c r="B13" s="8" t="s">
        <v>127</v>
      </c>
      <c r="C13" s="31">
        <v>2.0240587411649953</v>
      </c>
      <c r="D13" s="52"/>
      <c r="E13" s="8">
        <v>11</v>
      </c>
      <c r="F13" s="8" t="s">
        <v>125</v>
      </c>
      <c r="G13" s="31">
        <v>0.63756895048437012</v>
      </c>
      <c r="H13" s="52"/>
      <c r="I13" s="8">
        <v>11</v>
      </c>
      <c r="J13" s="8" t="s">
        <v>105</v>
      </c>
      <c r="K13" s="31">
        <v>0.94645480781043589</v>
      </c>
      <c r="L13" s="52"/>
      <c r="M13" s="8">
        <v>11</v>
      </c>
      <c r="N13" s="8" t="s">
        <v>151</v>
      </c>
      <c r="O13" s="31">
        <v>1.8399852116260069</v>
      </c>
      <c r="P13" s="8"/>
      <c r="Q13" s="8">
        <v>11</v>
      </c>
      <c r="R13" s="8" t="s">
        <v>135</v>
      </c>
      <c r="S13" s="31">
        <v>0.78357969941221772</v>
      </c>
      <c r="T13" s="52"/>
      <c r="U13" s="8">
        <v>11</v>
      </c>
      <c r="V13" s="8" t="s">
        <v>93</v>
      </c>
      <c r="W13" s="31">
        <v>0.85540904164183207</v>
      </c>
      <c r="X13" s="8"/>
      <c r="Y13" s="8">
        <v>11</v>
      </c>
      <c r="Z13" s="8" t="s">
        <v>109</v>
      </c>
      <c r="AA13" s="31">
        <v>0.75160668463427871</v>
      </c>
      <c r="AB13" s="8"/>
      <c r="AC13" s="8"/>
      <c r="AD13" s="8"/>
    </row>
    <row r="14" spans="1:30" x14ac:dyDescent="0.25">
      <c r="A14" s="8">
        <v>12</v>
      </c>
      <c r="B14" s="8" t="s">
        <v>97</v>
      </c>
      <c r="C14" s="31">
        <v>1.5389297506857225</v>
      </c>
      <c r="D14" s="52"/>
      <c r="E14" s="8">
        <v>12</v>
      </c>
      <c r="F14" s="8" t="s">
        <v>154</v>
      </c>
      <c r="G14" s="31">
        <v>0.60997887292659581</v>
      </c>
      <c r="H14" s="52"/>
      <c r="I14" s="8">
        <v>12</v>
      </c>
      <c r="J14" s="8" t="s">
        <v>123</v>
      </c>
      <c r="K14" s="31">
        <v>0.80328504705161907</v>
      </c>
      <c r="L14" s="52"/>
      <c r="M14" s="8">
        <v>12</v>
      </c>
      <c r="N14" s="8" t="s">
        <v>131</v>
      </c>
      <c r="O14" s="31">
        <v>1.7942720462633641</v>
      </c>
      <c r="P14" s="8"/>
      <c r="Q14" s="8">
        <v>12</v>
      </c>
      <c r="R14" s="8" t="s">
        <v>125</v>
      </c>
      <c r="S14" s="31">
        <v>0.64648263440130216</v>
      </c>
      <c r="T14" s="52"/>
      <c r="U14" s="8">
        <v>12</v>
      </c>
      <c r="V14" s="8" t="s">
        <v>150</v>
      </c>
      <c r="W14" s="31">
        <v>0.55837122255681759</v>
      </c>
      <c r="X14" s="8"/>
      <c r="Y14" s="8">
        <v>12</v>
      </c>
      <c r="Z14" s="8" t="s">
        <v>99</v>
      </c>
      <c r="AA14" s="31">
        <v>0.72051233781433499</v>
      </c>
      <c r="AB14" s="8"/>
      <c r="AC14" s="8"/>
      <c r="AD14" s="8"/>
    </row>
    <row r="15" spans="1:30" x14ac:dyDescent="0.25">
      <c r="A15" s="8">
        <v>13</v>
      </c>
      <c r="B15" s="8" t="s">
        <v>93</v>
      </c>
      <c r="C15" s="31">
        <v>1.4367185993130138</v>
      </c>
      <c r="D15" s="52"/>
      <c r="E15" s="8">
        <v>13</v>
      </c>
      <c r="F15" s="8" t="s">
        <v>81</v>
      </c>
      <c r="G15" s="31">
        <v>0.586312106351636</v>
      </c>
      <c r="H15" s="52"/>
      <c r="I15" s="8">
        <v>13</v>
      </c>
      <c r="J15" s="8" t="s">
        <v>95</v>
      </c>
      <c r="K15" s="31">
        <v>0.71726703695823868</v>
      </c>
      <c r="L15" s="52"/>
      <c r="M15" s="8">
        <v>13</v>
      </c>
      <c r="N15" s="8" t="s">
        <v>115</v>
      </c>
      <c r="O15" s="31">
        <v>1.7196743455635741</v>
      </c>
      <c r="P15" s="8"/>
      <c r="Q15" s="8">
        <v>13</v>
      </c>
      <c r="R15" s="8" t="s">
        <v>65</v>
      </c>
      <c r="S15" s="31">
        <v>0.61224023384302095</v>
      </c>
      <c r="T15" s="52"/>
      <c r="U15" s="8">
        <v>13</v>
      </c>
      <c r="V15" s="8" t="s">
        <v>113</v>
      </c>
      <c r="W15" s="31">
        <v>0.4034237134786044</v>
      </c>
      <c r="X15" s="8"/>
      <c r="Y15" s="8">
        <v>13</v>
      </c>
      <c r="Z15" s="8" t="s">
        <v>135</v>
      </c>
      <c r="AA15" s="31">
        <v>0.68051997160233768</v>
      </c>
      <c r="AB15" s="8"/>
      <c r="AC15" s="8"/>
      <c r="AD15" s="8"/>
    </row>
    <row r="16" spans="1:30" x14ac:dyDescent="0.25">
      <c r="A16" s="8">
        <v>14</v>
      </c>
      <c r="B16" s="8" t="s">
        <v>153</v>
      </c>
      <c r="C16" s="31">
        <v>0.61611813686345596</v>
      </c>
      <c r="D16" s="52"/>
      <c r="E16" s="8">
        <v>14</v>
      </c>
      <c r="F16" s="8" t="s">
        <v>70</v>
      </c>
      <c r="G16" s="31">
        <v>0.51947030504212011</v>
      </c>
      <c r="H16" s="52"/>
      <c r="I16" s="8">
        <v>14</v>
      </c>
      <c r="J16" s="8" t="s">
        <v>131</v>
      </c>
      <c r="K16" s="31">
        <v>0.69588686720419657</v>
      </c>
      <c r="L16" s="52"/>
      <c r="M16" s="8">
        <v>14</v>
      </c>
      <c r="N16" s="8" t="s">
        <v>75</v>
      </c>
      <c r="O16" s="31">
        <v>1.7006805943867214</v>
      </c>
      <c r="P16" s="8"/>
      <c r="Q16" s="8">
        <v>14</v>
      </c>
      <c r="R16" s="8" t="s">
        <v>83</v>
      </c>
      <c r="S16" s="31">
        <v>0.33126871606871044</v>
      </c>
      <c r="T16" s="52"/>
      <c r="U16" s="8">
        <v>14</v>
      </c>
      <c r="V16" s="8" t="s">
        <v>99</v>
      </c>
      <c r="W16" s="31">
        <v>0.37305139248879771</v>
      </c>
      <c r="X16" s="8"/>
      <c r="Y16" s="8">
        <v>14</v>
      </c>
      <c r="Z16" s="8" t="s">
        <v>95</v>
      </c>
      <c r="AA16" s="31">
        <v>0.59723703367869785</v>
      </c>
      <c r="AB16" s="8"/>
      <c r="AC16" s="8"/>
      <c r="AD16" s="8"/>
    </row>
    <row r="17" spans="1:30" x14ac:dyDescent="0.25">
      <c r="A17" s="8">
        <v>15</v>
      </c>
      <c r="B17" s="8" t="s">
        <v>115</v>
      </c>
      <c r="C17" s="31">
        <v>0.58797147020186147</v>
      </c>
      <c r="D17" s="52"/>
      <c r="E17" s="8">
        <v>15</v>
      </c>
      <c r="F17" s="8" t="s">
        <v>89</v>
      </c>
      <c r="G17" s="31">
        <v>0.47944085646488721</v>
      </c>
      <c r="H17" s="52"/>
      <c r="I17" s="8">
        <v>15</v>
      </c>
      <c r="J17" s="8" t="s">
        <v>93</v>
      </c>
      <c r="K17" s="31">
        <v>0.39937237996857505</v>
      </c>
      <c r="L17" s="52"/>
      <c r="M17" s="8">
        <v>15</v>
      </c>
      <c r="N17" s="8" t="s">
        <v>159</v>
      </c>
      <c r="O17" s="31">
        <v>1.0291375357298156</v>
      </c>
      <c r="P17" s="8"/>
      <c r="Q17" s="8">
        <v>15</v>
      </c>
      <c r="R17" s="8" t="s">
        <v>129</v>
      </c>
      <c r="S17" s="31">
        <v>0.27379612036006074</v>
      </c>
      <c r="T17" s="52"/>
      <c r="U17" s="8">
        <v>15</v>
      </c>
      <c r="V17" s="8" t="s">
        <v>109</v>
      </c>
      <c r="W17" s="31">
        <v>0.36461082137596956</v>
      </c>
      <c r="X17" s="8"/>
      <c r="Y17" s="8">
        <v>15</v>
      </c>
      <c r="Z17" s="8" t="s">
        <v>101</v>
      </c>
      <c r="AA17" s="31">
        <v>0.59117060868506555</v>
      </c>
      <c r="AB17" s="8"/>
      <c r="AC17" s="8"/>
      <c r="AD17" s="8"/>
    </row>
    <row r="18" spans="1:30" x14ac:dyDescent="0.25">
      <c r="A18" s="8">
        <v>16</v>
      </c>
      <c r="B18" s="8" t="s">
        <v>160</v>
      </c>
      <c r="C18" s="31">
        <v>0.19505134249757802</v>
      </c>
      <c r="D18" s="52"/>
      <c r="E18" s="8">
        <v>16</v>
      </c>
      <c r="F18" s="8" t="s">
        <v>117</v>
      </c>
      <c r="G18" s="31">
        <v>0.43624269871541937</v>
      </c>
      <c r="H18" s="52"/>
      <c r="I18" s="8">
        <v>16</v>
      </c>
      <c r="J18" s="8" t="s">
        <v>135</v>
      </c>
      <c r="K18" s="31">
        <v>0.1722182293599695</v>
      </c>
      <c r="L18" s="52"/>
      <c r="M18" s="8">
        <v>16</v>
      </c>
      <c r="N18" s="8" t="s">
        <v>83</v>
      </c>
      <c r="O18" s="31">
        <v>0.84657554547607816</v>
      </c>
      <c r="P18" s="8"/>
      <c r="Q18" s="8">
        <v>16</v>
      </c>
      <c r="R18" s="8" t="s">
        <v>133</v>
      </c>
      <c r="S18" s="31">
        <v>0.20936932972622835</v>
      </c>
      <c r="T18" s="52"/>
      <c r="U18" s="8">
        <v>16</v>
      </c>
      <c r="V18" s="8" t="s">
        <v>70</v>
      </c>
      <c r="W18" s="31">
        <v>7.057317176027747E-2</v>
      </c>
      <c r="X18" s="8"/>
      <c r="Y18" s="8">
        <v>16</v>
      </c>
      <c r="Z18" s="8" t="s">
        <v>150</v>
      </c>
      <c r="AA18" s="31">
        <v>0.34900867192271456</v>
      </c>
      <c r="AB18" s="8"/>
      <c r="AC18" s="8"/>
      <c r="AD18" s="8"/>
    </row>
    <row r="19" spans="1:30" x14ac:dyDescent="0.25">
      <c r="A19" s="8">
        <v>17</v>
      </c>
      <c r="B19" s="8" t="s">
        <v>117</v>
      </c>
      <c r="C19" s="31">
        <v>0.11201469288883439</v>
      </c>
      <c r="D19" s="52"/>
      <c r="E19" s="8">
        <v>17</v>
      </c>
      <c r="F19" s="8" t="s">
        <v>99</v>
      </c>
      <c r="G19" s="31">
        <v>0.38138659919796442</v>
      </c>
      <c r="H19" s="52"/>
      <c r="I19" s="8">
        <v>17</v>
      </c>
      <c r="J19" s="8" t="s">
        <v>158</v>
      </c>
      <c r="K19" s="31">
        <v>0.11138426313760552</v>
      </c>
      <c r="L19" s="52"/>
      <c r="M19" s="8">
        <v>17</v>
      </c>
      <c r="N19" s="8" t="s">
        <v>109</v>
      </c>
      <c r="O19" s="31">
        <v>0.83760228296219996</v>
      </c>
      <c r="P19" s="8"/>
      <c r="Q19" s="8">
        <v>17</v>
      </c>
      <c r="R19" s="8" t="s">
        <v>159</v>
      </c>
      <c r="S19" s="31">
        <v>0.143231887792654</v>
      </c>
      <c r="T19" s="52"/>
      <c r="U19" s="8">
        <v>17</v>
      </c>
      <c r="V19" s="8" t="s">
        <v>151</v>
      </c>
      <c r="W19" s="31">
        <v>4.1763316588955823E-2</v>
      </c>
      <c r="X19" s="8"/>
      <c r="Y19" s="8">
        <v>17</v>
      </c>
      <c r="Z19" s="8" t="s">
        <v>70</v>
      </c>
      <c r="AA19" s="31">
        <v>0.3236810236420154</v>
      </c>
      <c r="AB19" s="8"/>
      <c r="AC19" s="8"/>
      <c r="AD19" s="8"/>
    </row>
    <row r="20" spans="1:30" x14ac:dyDescent="0.25">
      <c r="A20" s="8">
        <v>18</v>
      </c>
      <c r="B20" s="8" t="s">
        <v>157</v>
      </c>
      <c r="C20" s="31">
        <v>-0.19345849877158292</v>
      </c>
      <c r="D20" s="52"/>
      <c r="E20" s="8">
        <v>18</v>
      </c>
      <c r="F20" s="8" t="s">
        <v>152</v>
      </c>
      <c r="G20" s="31">
        <v>0.32024435654750771</v>
      </c>
      <c r="H20" s="52"/>
      <c r="I20" s="8">
        <v>18</v>
      </c>
      <c r="J20" s="8" t="s">
        <v>150</v>
      </c>
      <c r="K20" s="31">
        <v>7.5792809783245346E-2</v>
      </c>
      <c r="L20" s="52"/>
      <c r="M20" s="8">
        <v>18</v>
      </c>
      <c r="N20" s="8" t="s">
        <v>150</v>
      </c>
      <c r="O20" s="31">
        <v>0.83619297164709105</v>
      </c>
      <c r="P20" s="8"/>
      <c r="Q20" s="8">
        <v>18</v>
      </c>
      <c r="R20" s="8" t="s">
        <v>152</v>
      </c>
      <c r="S20" s="31">
        <v>0.12923293399678232</v>
      </c>
      <c r="T20" s="52"/>
      <c r="U20" s="8">
        <v>18</v>
      </c>
      <c r="V20" s="8" t="s">
        <v>135</v>
      </c>
      <c r="W20" s="31">
        <v>2.6358994367355656E-2</v>
      </c>
      <c r="X20" s="8"/>
      <c r="Y20" s="8">
        <v>18</v>
      </c>
      <c r="Z20" s="8" t="s">
        <v>151</v>
      </c>
      <c r="AA20" s="31">
        <v>0.32230566023140811</v>
      </c>
      <c r="AB20" s="8"/>
      <c r="AC20" s="8"/>
      <c r="AD20" s="8"/>
    </row>
    <row r="21" spans="1:30" x14ac:dyDescent="0.25">
      <c r="A21" s="8">
        <v>19</v>
      </c>
      <c r="B21" s="8" t="s">
        <v>99</v>
      </c>
      <c r="C21" s="31">
        <v>-0.33020570487144391</v>
      </c>
      <c r="D21" s="52"/>
      <c r="E21" s="8">
        <v>19</v>
      </c>
      <c r="F21" s="8" t="s">
        <v>105</v>
      </c>
      <c r="G21" s="31">
        <v>0.28890540515824148</v>
      </c>
      <c r="H21" s="52"/>
      <c r="I21" s="8">
        <v>19</v>
      </c>
      <c r="J21" s="8" t="s">
        <v>129</v>
      </c>
      <c r="K21" s="31">
        <v>4.8242154612783139E-2</v>
      </c>
      <c r="L21" s="52"/>
      <c r="M21" s="8">
        <v>19</v>
      </c>
      <c r="N21" s="8" t="s">
        <v>70</v>
      </c>
      <c r="O21" s="31">
        <v>0.61381657828196523</v>
      </c>
      <c r="P21" s="8"/>
      <c r="Q21" s="8">
        <v>19</v>
      </c>
      <c r="R21" s="8" t="s">
        <v>85</v>
      </c>
      <c r="S21" s="31">
        <v>0.12063558912911998</v>
      </c>
      <c r="T21" s="52"/>
      <c r="U21" s="8">
        <v>19</v>
      </c>
      <c r="V21" s="8" t="s">
        <v>123</v>
      </c>
      <c r="W21" s="31">
        <v>-1.6071389963330747E-2</v>
      </c>
      <c r="X21" s="8"/>
      <c r="Y21" s="8">
        <v>19</v>
      </c>
      <c r="Z21" s="8" t="s">
        <v>129</v>
      </c>
      <c r="AA21" s="31">
        <v>0.16810475257520183</v>
      </c>
      <c r="AB21" s="8"/>
      <c r="AC21" s="8"/>
      <c r="AD21" s="8"/>
    </row>
    <row r="22" spans="1:30" x14ac:dyDescent="0.25">
      <c r="A22" s="8">
        <v>20</v>
      </c>
      <c r="B22" s="8" t="s">
        <v>123</v>
      </c>
      <c r="C22" s="31">
        <v>-0.3403078102460434</v>
      </c>
      <c r="D22" s="52"/>
      <c r="E22" s="8">
        <v>20</v>
      </c>
      <c r="F22" s="8" t="s">
        <v>93</v>
      </c>
      <c r="G22" s="31">
        <v>0.2886576941301604</v>
      </c>
      <c r="H22" s="52"/>
      <c r="I22" s="8">
        <v>20</v>
      </c>
      <c r="J22" s="30" t="s">
        <v>152</v>
      </c>
      <c r="K22" s="31">
        <v>2.8087519924978599E-2</v>
      </c>
      <c r="L22" s="52"/>
      <c r="M22" s="8">
        <v>20</v>
      </c>
      <c r="N22" s="8" t="s">
        <v>67</v>
      </c>
      <c r="O22" s="31">
        <v>0.46744541154023278</v>
      </c>
      <c r="P22" s="8"/>
      <c r="Q22" s="8">
        <v>20</v>
      </c>
      <c r="R22" s="8" t="s">
        <v>75</v>
      </c>
      <c r="S22" s="31">
        <v>0.1176136913598656</v>
      </c>
      <c r="T22" s="52"/>
      <c r="U22" s="8">
        <v>20</v>
      </c>
      <c r="V22" s="8" t="s">
        <v>153</v>
      </c>
      <c r="W22" s="31">
        <v>-3.150115823154738E-2</v>
      </c>
      <c r="X22" s="8"/>
      <c r="Y22" s="8">
        <v>20</v>
      </c>
      <c r="Z22" s="8" t="s">
        <v>159</v>
      </c>
      <c r="AA22" s="31">
        <v>6.6284971758383826E-2</v>
      </c>
      <c r="AB22" s="8"/>
      <c r="AC22" s="8"/>
      <c r="AD22" s="8"/>
    </row>
    <row r="23" spans="1:30" x14ac:dyDescent="0.25">
      <c r="A23" s="8">
        <v>21</v>
      </c>
      <c r="B23" s="8" t="s">
        <v>137</v>
      </c>
      <c r="C23" s="31">
        <v>-0.55827890961416682</v>
      </c>
      <c r="D23" s="52"/>
      <c r="E23" s="8">
        <v>21</v>
      </c>
      <c r="F23" s="8" t="s">
        <v>133</v>
      </c>
      <c r="G23" s="31">
        <v>0.27842652154322595</v>
      </c>
      <c r="H23" s="52"/>
      <c r="I23" s="8">
        <v>21</v>
      </c>
      <c r="J23" s="8" t="s">
        <v>75</v>
      </c>
      <c r="K23" s="31">
        <v>2.1058695333610399E-2</v>
      </c>
      <c r="L23" s="52"/>
      <c r="M23" s="8">
        <v>21</v>
      </c>
      <c r="N23" s="8" t="s">
        <v>119</v>
      </c>
      <c r="O23" s="31">
        <v>0.42931154728151699</v>
      </c>
      <c r="P23" s="8"/>
      <c r="Q23" s="8">
        <v>21</v>
      </c>
      <c r="R23" s="8" t="s">
        <v>107</v>
      </c>
      <c r="S23" s="31">
        <v>9.6302731376323281E-2</v>
      </c>
      <c r="T23" s="52"/>
      <c r="U23" s="8">
        <v>21</v>
      </c>
      <c r="V23" s="8" t="s">
        <v>117</v>
      </c>
      <c r="W23" s="31">
        <v>-9.8276919935644802E-2</v>
      </c>
      <c r="X23" s="8"/>
      <c r="Y23" s="8">
        <v>21</v>
      </c>
      <c r="Z23" s="8" t="s">
        <v>123</v>
      </c>
      <c r="AA23" s="31">
        <v>-7.834174958367135E-4</v>
      </c>
      <c r="AB23" s="8"/>
      <c r="AC23" s="8"/>
      <c r="AD23" s="8"/>
    </row>
    <row r="24" spans="1:30" x14ac:dyDescent="0.25">
      <c r="A24" s="8">
        <v>22</v>
      </c>
      <c r="B24" s="8" t="s">
        <v>159</v>
      </c>
      <c r="C24" s="31">
        <v>-0.75307267383108034</v>
      </c>
      <c r="D24" s="52"/>
      <c r="E24" s="8">
        <v>22</v>
      </c>
      <c r="F24" s="8" t="s">
        <v>123</v>
      </c>
      <c r="G24" s="31">
        <v>0.27758908538439375</v>
      </c>
      <c r="H24" s="52"/>
      <c r="I24" s="8">
        <v>22</v>
      </c>
      <c r="J24" s="8" t="s">
        <v>89</v>
      </c>
      <c r="K24" s="31">
        <v>-2.2221865562457033E-3</v>
      </c>
      <c r="L24" s="52"/>
      <c r="M24" s="8">
        <v>22</v>
      </c>
      <c r="N24" s="8" t="s">
        <v>79</v>
      </c>
      <c r="O24" s="31">
        <v>0.29740814504975044</v>
      </c>
      <c r="P24" s="8"/>
      <c r="Q24" s="8">
        <v>22</v>
      </c>
      <c r="R24" s="8" t="s">
        <v>137</v>
      </c>
      <c r="S24" s="31">
        <v>8.9909964281507021E-2</v>
      </c>
      <c r="T24" s="52"/>
      <c r="U24" s="8">
        <v>22</v>
      </c>
      <c r="V24" s="8" t="s">
        <v>159</v>
      </c>
      <c r="W24" s="31">
        <v>-0.10188490454105309</v>
      </c>
      <c r="X24" s="8"/>
      <c r="Y24" s="8">
        <v>22</v>
      </c>
      <c r="Z24" s="8" t="s">
        <v>113</v>
      </c>
      <c r="AA24" s="31">
        <v>-7.612308021385078E-2</v>
      </c>
      <c r="AB24" s="8"/>
      <c r="AC24" s="8"/>
      <c r="AD24" s="8"/>
    </row>
    <row r="25" spans="1:30" x14ac:dyDescent="0.25">
      <c r="A25" s="8">
        <v>23</v>
      </c>
      <c r="B25" s="8" t="s">
        <v>91</v>
      </c>
      <c r="C25" s="31">
        <v>-0.7816349087035388</v>
      </c>
      <c r="D25" s="52"/>
      <c r="E25" s="8">
        <v>23</v>
      </c>
      <c r="F25" s="8" t="s">
        <v>127</v>
      </c>
      <c r="G25" s="31">
        <v>0.2722859877917958</v>
      </c>
      <c r="H25" s="52"/>
      <c r="I25" s="8">
        <v>23</v>
      </c>
      <c r="J25" s="8" t="s">
        <v>153</v>
      </c>
      <c r="K25" s="31">
        <v>-3.5482381012727215E-2</v>
      </c>
      <c r="L25" s="52"/>
      <c r="M25" s="8">
        <v>23</v>
      </c>
      <c r="N25" s="8" t="s">
        <v>156</v>
      </c>
      <c r="O25" s="31">
        <v>0.29573020749470974</v>
      </c>
      <c r="P25" s="8"/>
      <c r="Q25" s="8">
        <v>23</v>
      </c>
      <c r="R25" s="8" t="s">
        <v>131</v>
      </c>
      <c r="S25" s="31">
        <v>-3.6927944553723148E-2</v>
      </c>
      <c r="T25" s="52"/>
      <c r="U25" s="8">
        <v>23</v>
      </c>
      <c r="V25" s="8" t="s">
        <v>129</v>
      </c>
      <c r="W25" s="31">
        <v>-0.30373997294276861</v>
      </c>
      <c r="X25" s="8"/>
      <c r="Y25" s="8">
        <v>23</v>
      </c>
      <c r="Z25" s="8" t="s">
        <v>75</v>
      </c>
      <c r="AA25" s="31">
        <v>-0.12140920774351691</v>
      </c>
      <c r="AB25" s="8"/>
      <c r="AC25" s="8"/>
      <c r="AD25" s="8"/>
    </row>
    <row r="26" spans="1:30" x14ac:dyDescent="0.25">
      <c r="A26" s="8">
        <v>24</v>
      </c>
      <c r="B26" s="8" t="s">
        <v>89</v>
      </c>
      <c r="C26" s="31">
        <v>-0.81052495137633218</v>
      </c>
      <c r="D26" s="52"/>
      <c r="E26" s="8">
        <v>24</v>
      </c>
      <c r="F26" s="8" t="s">
        <v>153</v>
      </c>
      <c r="G26" s="31">
        <v>0.24443414874526664</v>
      </c>
      <c r="H26" s="52"/>
      <c r="I26" s="8">
        <v>24</v>
      </c>
      <c r="J26" s="8" t="s">
        <v>87</v>
      </c>
      <c r="K26" s="31">
        <v>-4.4185125465142139E-2</v>
      </c>
      <c r="L26" s="52"/>
      <c r="M26" s="8">
        <v>24</v>
      </c>
      <c r="N26" s="8" t="s">
        <v>103</v>
      </c>
      <c r="O26" s="31">
        <v>0.27249401430221254</v>
      </c>
      <c r="P26" s="8"/>
      <c r="Q26" s="8">
        <v>24</v>
      </c>
      <c r="R26" s="8" t="s">
        <v>81</v>
      </c>
      <c r="S26" s="31">
        <v>-7.0117168246633804E-2</v>
      </c>
      <c r="T26" s="52"/>
      <c r="U26" s="8">
        <v>24</v>
      </c>
      <c r="V26" s="30" t="s">
        <v>89</v>
      </c>
      <c r="W26" s="31">
        <v>-0.32061290620466332</v>
      </c>
      <c r="X26" s="8"/>
      <c r="Y26" s="8">
        <v>24</v>
      </c>
      <c r="Z26" s="30" t="s">
        <v>141</v>
      </c>
      <c r="AA26" s="31">
        <v>-0.19078380075525686</v>
      </c>
      <c r="AB26" s="8"/>
      <c r="AC26" s="8"/>
      <c r="AD26" s="8"/>
    </row>
    <row r="27" spans="1:30" x14ac:dyDescent="0.25">
      <c r="A27" s="8">
        <v>25</v>
      </c>
      <c r="B27" s="8" t="s">
        <v>70</v>
      </c>
      <c r="C27" s="31">
        <v>-0.88453966528504113</v>
      </c>
      <c r="D27" s="52"/>
      <c r="E27" s="8">
        <v>25</v>
      </c>
      <c r="F27" s="8" t="s">
        <v>107</v>
      </c>
      <c r="G27" s="31">
        <v>0.21967529046158535</v>
      </c>
      <c r="H27" s="52"/>
      <c r="I27" s="8">
        <v>25</v>
      </c>
      <c r="J27" s="8" t="s">
        <v>99</v>
      </c>
      <c r="K27" s="31">
        <v>-0.15423089538140849</v>
      </c>
      <c r="L27" s="52"/>
      <c r="M27" s="8">
        <v>25</v>
      </c>
      <c r="N27" s="8" t="s">
        <v>113</v>
      </c>
      <c r="O27" s="31">
        <v>8.4618465893377501E-2</v>
      </c>
      <c r="P27" s="8"/>
      <c r="Q27" s="8">
        <v>25</v>
      </c>
      <c r="R27" s="8" t="s">
        <v>73</v>
      </c>
      <c r="S27" s="31">
        <v>-0.17402792540181936</v>
      </c>
      <c r="T27" s="52"/>
      <c r="U27" s="8">
        <v>25</v>
      </c>
      <c r="V27" s="8" t="s">
        <v>101</v>
      </c>
      <c r="W27" s="31">
        <v>-0.35037873254027768</v>
      </c>
      <c r="X27" s="8"/>
      <c r="Y27" s="8">
        <v>25</v>
      </c>
      <c r="Z27" s="8" t="s">
        <v>155</v>
      </c>
      <c r="AA27" s="31">
        <v>-0.20705450745785914</v>
      </c>
      <c r="AB27" s="8"/>
      <c r="AC27" s="8"/>
      <c r="AD27" s="8"/>
    </row>
    <row r="28" spans="1:30" x14ac:dyDescent="0.25">
      <c r="A28" s="8">
        <v>26</v>
      </c>
      <c r="B28" s="8" t="s">
        <v>79</v>
      </c>
      <c r="C28" s="31">
        <v>-1.1923251736736631</v>
      </c>
      <c r="D28" s="52"/>
      <c r="E28" s="8">
        <v>26</v>
      </c>
      <c r="F28" s="8" t="s">
        <v>159</v>
      </c>
      <c r="G28" s="31">
        <v>0.21296311215010033</v>
      </c>
      <c r="H28" s="52"/>
      <c r="I28" s="8">
        <v>26</v>
      </c>
      <c r="J28" s="8" t="s">
        <v>117</v>
      </c>
      <c r="K28" s="31">
        <v>-0.20526105173965292</v>
      </c>
      <c r="L28" s="52"/>
      <c r="M28" s="8">
        <v>26</v>
      </c>
      <c r="N28" s="8" t="s">
        <v>152</v>
      </c>
      <c r="O28" s="31">
        <v>6.2111413680330158E-2</v>
      </c>
      <c r="P28" s="8"/>
      <c r="Q28" s="8">
        <v>26</v>
      </c>
      <c r="R28" s="8" t="s">
        <v>119</v>
      </c>
      <c r="S28" s="31">
        <v>-0.28764798941978709</v>
      </c>
      <c r="T28" s="52"/>
      <c r="U28" s="8">
        <v>26</v>
      </c>
      <c r="V28" s="8" t="s">
        <v>137</v>
      </c>
      <c r="W28" s="31">
        <v>-0.49837399426631124</v>
      </c>
      <c r="X28" s="8"/>
      <c r="Y28" s="8">
        <v>26</v>
      </c>
      <c r="Z28" s="8" t="s">
        <v>73</v>
      </c>
      <c r="AA28" s="31">
        <v>-0.37629125208152964</v>
      </c>
      <c r="AB28" s="8"/>
      <c r="AC28" s="8"/>
      <c r="AD28" s="8"/>
    </row>
    <row r="29" spans="1:30" x14ac:dyDescent="0.25">
      <c r="A29" s="8">
        <v>27</v>
      </c>
      <c r="B29" s="8" t="s">
        <v>135</v>
      </c>
      <c r="C29" s="31">
        <v>-1.2275805199035332</v>
      </c>
      <c r="D29" s="52"/>
      <c r="E29" s="8">
        <v>27</v>
      </c>
      <c r="F29" s="8" t="s">
        <v>141</v>
      </c>
      <c r="G29" s="31">
        <v>0.11560934937709133</v>
      </c>
      <c r="H29" s="52"/>
      <c r="I29" s="8">
        <v>27</v>
      </c>
      <c r="J29" s="8" t="s">
        <v>141</v>
      </c>
      <c r="K29" s="31">
        <v>-0.2226212286783219</v>
      </c>
      <c r="L29" s="52"/>
      <c r="M29" s="8">
        <v>27</v>
      </c>
      <c r="N29" s="8" t="s">
        <v>123</v>
      </c>
      <c r="O29" s="31">
        <v>-1.9133757465042797E-2</v>
      </c>
      <c r="P29" s="8"/>
      <c r="Q29" s="8">
        <v>27</v>
      </c>
      <c r="R29" s="8" t="s">
        <v>153</v>
      </c>
      <c r="S29" s="31">
        <v>-0.39102209783272845</v>
      </c>
      <c r="T29" s="52"/>
      <c r="U29" s="8">
        <v>27</v>
      </c>
      <c r="V29" s="8" t="s">
        <v>160</v>
      </c>
      <c r="W29" s="31">
        <v>-0.51277400049892907</v>
      </c>
      <c r="X29" s="8"/>
      <c r="Y29" s="8">
        <v>27</v>
      </c>
      <c r="Z29" s="8" t="s">
        <v>152</v>
      </c>
      <c r="AA29" s="31">
        <v>-0.38245824617007884</v>
      </c>
      <c r="AB29" s="8"/>
      <c r="AC29" s="8"/>
      <c r="AD29" s="8"/>
    </row>
    <row r="30" spans="1:30" x14ac:dyDescent="0.25">
      <c r="A30" s="8">
        <v>28</v>
      </c>
      <c r="B30" s="8" t="s">
        <v>73</v>
      </c>
      <c r="C30" s="31">
        <v>-1.3895967873044481</v>
      </c>
      <c r="D30" s="52"/>
      <c r="E30" s="8">
        <v>28</v>
      </c>
      <c r="F30" s="30" t="s">
        <v>139</v>
      </c>
      <c r="G30" s="31">
        <v>6.5191471188530026E-2</v>
      </c>
      <c r="H30" s="52"/>
      <c r="I30" s="8">
        <v>28</v>
      </c>
      <c r="J30" s="8" t="s">
        <v>70</v>
      </c>
      <c r="K30" s="31">
        <v>-0.25108433772555222</v>
      </c>
      <c r="L30" s="52"/>
      <c r="M30" s="8">
        <v>28</v>
      </c>
      <c r="N30" s="8" t="s">
        <v>137</v>
      </c>
      <c r="O30" s="31">
        <v>-0.21419189601660138</v>
      </c>
      <c r="P30" s="8"/>
      <c r="Q30" s="8">
        <v>28</v>
      </c>
      <c r="R30" s="8" t="s">
        <v>121</v>
      </c>
      <c r="S30" s="31">
        <v>-0.40178914204520305</v>
      </c>
      <c r="T30" s="52"/>
      <c r="U30" s="8">
        <v>28</v>
      </c>
      <c r="V30" s="8" t="s">
        <v>73</v>
      </c>
      <c r="W30" s="31">
        <v>-0.55371366332773708</v>
      </c>
      <c r="X30" s="8"/>
      <c r="Y30" s="8">
        <v>28</v>
      </c>
      <c r="Z30" s="8" t="s">
        <v>137</v>
      </c>
      <c r="AA30" s="31">
        <v>-0.46022408003846016</v>
      </c>
      <c r="AB30" s="8"/>
      <c r="AC30" s="8"/>
      <c r="AD30" s="8"/>
    </row>
    <row r="31" spans="1:30" x14ac:dyDescent="0.25">
      <c r="A31" s="8">
        <v>29</v>
      </c>
      <c r="B31" s="30" t="s">
        <v>109</v>
      </c>
      <c r="C31" s="31">
        <v>-1.4786821711884783</v>
      </c>
      <c r="D31" s="52"/>
      <c r="E31" s="8">
        <v>29</v>
      </c>
      <c r="F31" s="8" t="s">
        <v>97</v>
      </c>
      <c r="G31" s="31">
        <v>-1.0119343085628001E-2</v>
      </c>
      <c r="H31" s="52"/>
      <c r="I31" s="8">
        <v>29</v>
      </c>
      <c r="J31" s="8" t="s">
        <v>159</v>
      </c>
      <c r="K31" s="31">
        <v>-0.30083500304957039</v>
      </c>
      <c r="L31" s="52"/>
      <c r="M31" s="8">
        <v>29</v>
      </c>
      <c r="N31" s="8" t="s">
        <v>154</v>
      </c>
      <c r="O31" s="31">
        <v>-0.77579406355089164</v>
      </c>
      <c r="P31" s="8"/>
      <c r="Q31" s="8">
        <v>29</v>
      </c>
      <c r="R31" s="8" t="s">
        <v>139</v>
      </c>
      <c r="S31" s="31">
        <v>-0.40642843234799914</v>
      </c>
      <c r="T31" s="52"/>
      <c r="U31" s="8">
        <v>29</v>
      </c>
      <c r="V31" s="8" t="s">
        <v>141</v>
      </c>
      <c r="W31" s="31">
        <v>-0.55825744804511446</v>
      </c>
      <c r="X31" s="8"/>
      <c r="Y31" s="8">
        <v>29</v>
      </c>
      <c r="Z31" s="8" t="s">
        <v>117</v>
      </c>
      <c r="AA31" s="31">
        <v>-0.47068253567341645</v>
      </c>
      <c r="AB31" s="8"/>
      <c r="AC31" s="8"/>
      <c r="AD31" s="8"/>
    </row>
    <row r="32" spans="1:30" x14ac:dyDescent="0.25">
      <c r="A32" s="8">
        <v>30</v>
      </c>
      <c r="B32" s="8" t="s">
        <v>105</v>
      </c>
      <c r="C32" s="31">
        <v>-1.5134293047404865</v>
      </c>
      <c r="D32" s="52"/>
      <c r="E32" s="8">
        <v>30</v>
      </c>
      <c r="F32" s="8" t="s">
        <v>129</v>
      </c>
      <c r="G32" s="31">
        <v>-1.0611760609718981E-2</v>
      </c>
      <c r="H32" s="52"/>
      <c r="I32" s="8">
        <v>30</v>
      </c>
      <c r="J32" s="8" t="s">
        <v>91</v>
      </c>
      <c r="K32" s="31">
        <v>-0.30785198674248671</v>
      </c>
      <c r="L32" s="52"/>
      <c r="M32" s="8">
        <v>30</v>
      </c>
      <c r="N32" s="8" t="s">
        <v>141</v>
      </c>
      <c r="O32" s="31">
        <v>-0.79847731984301573</v>
      </c>
      <c r="P32" s="8"/>
      <c r="Q32" s="8">
        <v>30</v>
      </c>
      <c r="R32" s="8" t="s">
        <v>155</v>
      </c>
      <c r="S32" s="31">
        <v>-0.44087037765756554</v>
      </c>
      <c r="T32" s="52"/>
      <c r="U32" s="8">
        <v>30</v>
      </c>
      <c r="V32" s="8" t="s">
        <v>155</v>
      </c>
      <c r="W32" s="31">
        <v>-0.59825959550551877</v>
      </c>
      <c r="X32" s="8"/>
      <c r="Y32" s="8">
        <v>30</v>
      </c>
      <c r="Z32" s="8" t="s">
        <v>89</v>
      </c>
      <c r="AA32" s="31">
        <v>-0.47568376495360415</v>
      </c>
      <c r="AB32" s="8"/>
      <c r="AC32" s="8"/>
      <c r="AD32" s="8"/>
    </row>
    <row r="33" spans="1:30" x14ac:dyDescent="0.25">
      <c r="A33" s="8">
        <v>31</v>
      </c>
      <c r="B33" s="8" t="s">
        <v>75</v>
      </c>
      <c r="C33" s="31">
        <v>-1.5284061018334398</v>
      </c>
      <c r="D33" s="52"/>
      <c r="E33" s="8">
        <v>31</v>
      </c>
      <c r="F33" s="8" t="s">
        <v>135</v>
      </c>
      <c r="G33" s="31">
        <v>-2.8023445831719663E-2</v>
      </c>
      <c r="H33" s="52"/>
      <c r="I33" s="8">
        <v>31</v>
      </c>
      <c r="J33" s="8" t="s">
        <v>155</v>
      </c>
      <c r="K33" s="31">
        <v>-0.46017724641476354</v>
      </c>
      <c r="L33" s="52"/>
      <c r="M33" s="8">
        <v>31</v>
      </c>
      <c r="N33" s="8" t="s">
        <v>95</v>
      </c>
      <c r="O33" s="31">
        <v>-0.81709524138378031</v>
      </c>
      <c r="P33" s="8"/>
      <c r="Q33" s="8">
        <v>31</v>
      </c>
      <c r="R33" s="8" t="s">
        <v>93</v>
      </c>
      <c r="S33" s="31">
        <v>-0.51290404791526589</v>
      </c>
      <c r="T33" s="52"/>
      <c r="U33" s="8">
        <v>31</v>
      </c>
      <c r="V33" s="8" t="s">
        <v>157</v>
      </c>
      <c r="W33" s="31">
        <v>-0.61831602650347994</v>
      </c>
      <c r="X33" s="8"/>
      <c r="Y33" s="8">
        <v>31</v>
      </c>
      <c r="Z33" s="8" t="s">
        <v>153</v>
      </c>
      <c r="AA33" s="31">
        <v>-0.49327845926745606</v>
      </c>
      <c r="AB33" s="8"/>
      <c r="AC33" s="8"/>
      <c r="AD33" s="8"/>
    </row>
    <row r="34" spans="1:30" x14ac:dyDescent="0.25">
      <c r="A34" s="8">
        <v>32</v>
      </c>
      <c r="B34" s="8" t="s">
        <v>129</v>
      </c>
      <c r="C34" s="31">
        <v>-1.540557636311759</v>
      </c>
      <c r="D34" s="52"/>
      <c r="E34" s="8">
        <v>32</v>
      </c>
      <c r="F34" s="8" t="s">
        <v>73</v>
      </c>
      <c r="G34" s="31">
        <v>-7.2675361843440728E-2</v>
      </c>
      <c r="H34" s="52"/>
      <c r="I34" s="8">
        <v>32</v>
      </c>
      <c r="J34" s="8" t="s">
        <v>101</v>
      </c>
      <c r="K34" s="31">
        <v>-0.52704448719514962</v>
      </c>
      <c r="L34" s="52"/>
      <c r="M34" s="8">
        <v>32</v>
      </c>
      <c r="N34" s="8" t="s">
        <v>87</v>
      </c>
      <c r="O34" s="31">
        <v>-0.90763278852673568</v>
      </c>
      <c r="P34" s="8"/>
      <c r="Q34" s="8">
        <v>32</v>
      </c>
      <c r="R34" s="8" t="s">
        <v>87</v>
      </c>
      <c r="S34" s="31">
        <v>-0.53049789389849134</v>
      </c>
      <c r="T34" s="52"/>
      <c r="U34" s="8">
        <v>32</v>
      </c>
      <c r="V34" s="8" t="s">
        <v>75</v>
      </c>
      <c r="W34" s="31">
        <v>-0.67230435882120387</v>
      </c>
      <c r="X34" s="8"/>
      <c r="Y34" s="8">
        <v>32</v>
      </c>
      <c r="Z34" s="8" t="s">
        <v>87</v>
      </c>
      <c r="AA34" s="31">
        <v>-0.70677661300799266</v>
      </c>
      <c r="AB34" s="8"/>
      <c r="AC34" s="8"/>
      <c r="AD34" s="8"/>
    </row>
    <row r="35" spans="1:30" x14ac:dyDescent="0.25">
      <c r="A35" s="8">
        <v>33</v>
      </c>
      <c r="B35" s="8" t="s">
        <v>133</v>
      </c>
      <c r="C35" s="31">
        <v>-1.604170057837448</v>
      </c>
      <c r="D35" s="52"/>
      <c r="E35" s="8">
        <v>33</v>
      </c>
      <c r="F35" s="8" t="s">
        <v>155</v>
      </c>
      <c r="G35" s="31">
        <v>-0.11156684303169861</v>
      </c>
      <c r="H35" s="52"/>
      <c r="I35" s="8">
        <v>33</v>
      </c>
      <c r="J35" s="8" t="s">
        <v>113</v>
      </c>
      <c r="K35" s="31">
        <v>-0.57738150214523731</v>
      </c>
      <c r="L35" s="52"/>
      <c r="M35" s="8">
        <v>33</v>
      </c>
      <c r="N35" s="8" t="s">
        <v>65</v>
      </c>
      <c r="O35" s="31">
        <v>-0.91149338749144149</v>
      </c>
      <c r="P35" s="8"/>
      <c r="Q35" s="8">
        <v>33</v>
      </c>
      <c r="R35" s="8" t="s">
        <v>89</v>
      </c>
      <c r="S35" s="31">
        <v>-0.53833706882495858</v>
      </c>
      <c r="T35" s="52"/>
      <c r="U35" s="8">
        <v>33</v>
      </c>
      <c r="V35" s="8" t="s">
        <v>152</v>
      </c>
      <c r="W35" s="31">
        <v>-0.72415989769816069</v>
      </c>
      <c r="X35" s="8"/>
      <c r="Y35" s="8">
        <v>33</v>
      </c>
      <c r="Z35" s="8" t="s">
        <v>83</v>
      </c>
      <c r="AA35" s="31">
        <v>-0.71755383024645814</v>
      </c>
      <c r="AB35" s="8"/>
      <c r="AC35" s="8"/>
      <c r="AD35" s="8"/>
    </row>
    <row r="36" spans="1:30" x14ac:dyDescent="0.25">
      <c r="A36" s="8">
        <v>34</v>
      </c>
      <c r="B36" s="8" t="s">
        <v>139</v>
      </c>
      <c r="C36" s="31">
        <v>-1.8084159890851517</v>
      </c>
      <c r="D36" s="52"/>
      <c r="E36" s="8">
        <v>34</v>
      </c>
      <c r="F36" s="8" t="s">
        <v>160</v>
      </c>
      <c r="G36" s="31">
        <v>-0.13988864352788483</v>
      </c>
      <c r="H36" s="52"/>
      <c r="I36" s="8">
        <v>34</v>
      </c>
      <c r="J36" s="8" t="s">
        <v>81</v>
      </c>
      <c r="K36" s="31">
        <v>-0.74848082306898256</v>
      </c>
      <c r="L36" s="52"/>
      <c r="M36" s="8">
        <v>34</v>
      </c>
      <c r="N36" s="8" t="s">
        <v>85</v>
      </c>
      <c r="O36" s="31">
        <v>-0.9609224835839858</v>
      </c>
      <c r="P36" s="8"/>
      <c r="Q36" s="8">
        <v>34</v>
      </c>
      <c r="R36" s="8" t="s">
        <v>150</v>
      </c>
      <c r="S36" s="31">
        <v>-0.70240996819860535</v>
      </c>
      <c r="T36" s="52"/>
      <c r="U36" s="8">
        <v>34</v>
      </c>
      <c r="V36" s="8" t="s">
        <v>91</v>
      </c>
      <c r="W36" s="31">
        <v>-0.73819899770102093</v>
      </c>
      <c r="X36" s="8"/>
      <c r="Y36" s="8">
        <v>34</v>
      </c>
      <c r="Z36" s="8" t="s">
        <v>119</v>
      </c>
      <c r="AA36" s="31">
        <v>-0.73361530747920689</v>
      </c>
      <c r="AB36" s="8"/>
      <c r="AC36" s="8"/>
      <c r="AD36" s="8"/>
    </row>
    <row r="37" spans="1:30" x14ac:dyDescent="0.25">
      <c r="A37" s="8">
        <v>35</v>
      </c>
      <c r="B37" s="8" t="s">
        <v>155</v>
      </c>
      <c r="C37" s="31">
        <v>-1.8673625240746587</v>
      </c>
      <c r="D37" s="52"/>
      <c r="E37" s="8">
        <v>35</v>
      </c>
      <c r="F37" s="8" t="s">
        <v>87</v>
      </c>
      <c r="G37" s="31">
        <v>-0.15507718351795999</v>
      </c>
      <c r="H37" s="52"/>
      <c r="I37" s="8">
        <v>35</v>
      </c>
      <c r="J37" s="8" t="s">
        <v>139</v>
      </c>
      <c r="K37" s="31">
        <v>-0.79893520213692482</v>
      </c>
      <c r="L37" s="52"/>
      <c r="M37" s="8">
        <v>35</v>
      </c>
      <c r="N37" s="8" t="s">
        <v>81</v>
      </c>
      <c r="O37" s="31">
        <v>-1.2214287813268137</v>
      </c>
      <c r="P37" s="8"/>
      <c r="Q37" s="8">
        <v>35</v>
      </c>
      <c r="R37" s="8" t="s">
        <v>123</v>
      </c>
      <c r="S37" s="31">
        <v>-0.72534965220411018</v>
      </c>
      <c r="T37" s="52"/>
      <c r="U37" s="8">
        <v>35</v>
      </c>
      <c r="V37" s="8" t="s">
        <v>81</v>
      </c>
      <c r="W37" s="31">
        <v>-0.83599091568603978</v>
      </c>
      <c r="X37" s="8"/>
      <c r="Y37" s="8">
        <v>35</v>
      </c>
      <c r="Z37" s="8" t="s">
        <v>81</v>
      </c>
      <c r="AA37" s="31">
        <v>-0.76914149076951299</v>
      </c>
      <c r="AB37" s="8"/>
      <c r="AC37" s="8"/>
      <c r="AD37" s="8"/>
    </row>
    <row r="38" spans="1:30" x14ac:dyDescent="0.25">
      <c r="A38" s="8">
        <v>36</v>
      </c>
      <c r="B38" s="8" t="s">
        <v>87</v>
      </c>
      <c r="C38" s="31">
        <v>-1.8964900736316337</v>
      </c>
      <c r="D38" s="52"/>
      <c r="E38" s="8">
        <v>36</v>
      </c>
      <c r="F38" s="8" t="s">
        <v>91</v>
      </c>
      <c r="G38" s="31">
        <v>-0.16164807841915976</v>
      </c>
      <c r="H38" s="52"/>
      <c r="I38" s="8">
        <v>36</v>
      </c>
      <c r="J38" s="8" t="s">
        <v>119</v>
      </c>
      <c r="K38" s="31">
        <v>-0.92852995627081603</v>
      </c>
      <c r="L38" s="52"/>
      <c r="M38" s="8">
        <v>36</v>
      </c>
      <c r="N38" s="8" t="s">
        <v>73</v>
      </c>
      <c r="O38" s="31">
        <v>-1.3310405104677256</v>
      </c>
      <c r="P38" s="8"/>
      <c r="Q38" s="8">
        <v>36</v>
      </c>
      <c r="R38" s="8" t="s">
        <v>156</v>
      </c>
      <c r="S38" s="31">
        <v>-0.82604469301940053</v>
      </c>
      <c r="T38" s="52"/>
      <c r="U38" s="8">
        <v>36</v>
      </c>
      <c r="V38" s="8" t="s">
        <v>87</v>
      </c>
      <c r="W38" s="31">
        <v>-0.86628012079139471</v>
      </c>
      <c r="X38" s="8"/>
      <c r="Y38" s="8">
        <v>36</v>
      </c>
      <c r="Z38" s="8" t="s">
        <v>79</v>
      </c>
      <c r="AA38" s="31">
        <v>-0.8675116240781513</v>
      </c>
      <c r="AB38" s="8"/>
      <c r="AC38" s="8"/>
      <c r="AD38" s="8"/>
    </row>
    <row r="39" spans="1:30" x14ac:dyDescent="0.25">
      <c r="A39" s="8">
        <v>37</v>
      </c>
      <c r="B39" s="8" t="s">
        <v>103</v>
      </c>
      <c r="C39" s="31">
        <v>-1.90052919297159</v>
      </c>
      <c r="D39" s="52"/>
      <c r="E39" s="8">
        <v>37</v>
      </c>
      <c r="F39" s="8" t="s">
        <v>77</v>
      </c>
      <c r="G39" s="31">
        <v>-0.21377908741621524</v>
      </c>
      <c r="H39" s="52"/>
      <c r="I39" s="8">
        <v>37</v>
      </c>
      <c r="J39" s="8" t="s">
        <v>79</v>
      </c>
      <c r="K39" s="31">
        <v>-1.096898902003197</v>
      </c>
      <c r="L39" s="52"/>
      <c r="M39" s="8">
        <v>37</v>
      </c>
      <c r="N39" s="8" t="s">
        <v>107</v>
      </c>
      <c r="O39" s="31">
        <v>-1.3935373686740393</v>
      </c>
      <c r="P39" s="8"/>
      <c r="Q39" s="8">
        <v>37</v>
      </c>
      <c r="R39" s="8" t="s">
        <v>143</v>
      </c>
      <c r="S39" s="31">
        <v>-0.82997100481156405</v>
      </c>
      <c r="T39" s="52"/>
      <c r="U39" s="8">
        <v>37</v>
      </c>
      <c r="V39" s="8" t="s">
        <v>156</v>
      </c>
      <c r="W39" s="31">
        <v>-0.88974077202491508</v>
      </c>
      <c r="X39" s="8"/>
      <c r="Y39" s="8">
        <v>37</v>
      </c>
      <c r="Z39" s="8" t="s">
        <v>107</v>
      </c>
      <c r="AA39" s="31">
        <v>-0.87636151969478604</v>
      </c>
      <c r="AB39" s="8"/>
      <c r="AC39" s="8"/>
      <c r="AD39" s="8"/>
    </row>
    <row r="40" spans="1:30" x14ac:dyDescent="0.25">
      <c r="A40" s="8">
        <v>38</v>
      </c>
      <c r="B40" s="8" t="s">
        <v>141</v>
      </c>
      <c r="C40" s="31">
        <v>-1.9670715400470358</v>
      </c>
      <c r="D40" s="52"/>
      <c r="E40" s="8">
        <v>38</v>
      </c>
      <c r="F40" s="8" t="s">
        <v>119</v>
      </c>
      <c r="G40" s="31">
        <v>-0.22136238038181691</v>
      </c>
      <c r="H40" s="52"/>
      <c r="I40" s="8">
        <v>38</v>
      </c>
      <c r="J40" s="8" t="s">
        <v>137</v>
      </c>
      <c r="K40" s="31">
        <v>-1.1037906514688816</v>
      </c>
      <c r="L40" s="52"/>
      <c r="M40" s="8">
        <v>38</v>
      </c>
      <c r="N40" s="8" t="s">
        <v>117</v>
      </c>
      <c r="O40" s="31">
        <v>-1.4199688434628968</v>
      </c>
      <c r="P40" s="8"/>
      <c r="Q40" s="8">
        <v>38</v>
      </c>
      <c r="R40" s="8" t="s">
        <v>79</v>
      </c>
      <c r="S40" s="31">
        <v>-0.93956788968095151</v>
      </c>
      <c r="T40" s="52"/>
      <c r="U40" s="8">
        <v>38</v>
      </c>
      <c r="V40" s="8" t="s">
        <v>121</v>
      </c>
      <c r="W40" s="31">
        <v>-0.92032819739253136</v>
      </c>
      <c r="X40" s="8"/>
      <c r="Y40" s="8">
        <v>38</v>
      </c>
      <c r="Z40" s="8" t="s">
        <v>157</v>
      </c>
      <c r="AA40" s="31">
        <v>-0.90172225854773469</v>
      </c>
      <c r="AB40" s="8"/>
      <c r="AC40" s="8"/>
      <c r="AD40" s="8"/>
    </row>
    <row r="41" spans="1:30" x14ac:dyDescent="0.25">
      <c r="A41" s="8">
        <v>39</v>
      </c>
      <c r="B41" s="8" t="s">
        <v>77</v>
      </c>
      <c r="C41" s="31">
        <v>-1.9832100386541063</v>
      </c>
      <c r="D41" s="52"/>
      <c r="E41" s="8">
        <v>39</v>
      </c>
      <c r="F41" s="8" t="s">
        <v>83</v>
      </c>
      <c r="G41" s="31">
        <v>-0.34400571101976107</v>
      </c>
      <c r="H41" s="52"/>
      <c r="I41" s="8">
        <v>39</v>
      </c>
      <c r="J41" s="8" t="s">
        <v>107</v>
      </c>
      <c r="K41" s="31">
        <v>-1.1059984512251237</v>
      </c>
      <c r="L41" s="52"/>
      <c r="M41" s="8">
        <v>39</v>
      </c>
      <c r="N41" s="8" t="s">
        <v>121</v>
      </c>
      <c r="O41" s="31">
        <v>-1.505717933842702</v>
      </c>
      <c r="P41" s="8"/>
      <c r="Q41" s="8">
        <v>39</v>
      </c>
      <c r="R41" s="8" t="s">
        <v>103</v>
      </c>
      <c r="S41" s="31">
        <v>-0.960137192333405</v>
      </c>
      <c r="T41" s="52"/>
      <c r="U41" s="8">
        <v>39</v>
      </c>
      <c r="V41" s="8" t="s">
        <v>107</v>
      </c>
      <c r="W41" s="31">
        <v>-0.93282438733516548</v>
      </c>
      <c r="X41" s="8"/>
      <c r="Y41" s="8">
        <v>39</v>
      </c>
      <c r="Z41" s="8" t="s">
        <v>91</v>
      </c>
      <c r="AA41" s="31">
        <v>-1.0047565018406928</v>
      </c>
      <c r="AB41" s="8"/>
      <c r="AC41" s="8"/>
      <c r="AD41" s="8"/>
    </row>
    <row r="42" spans="1:30" x14ac:dyDescent="0.25">
      <c r="A42" s="8">
        <v>40</v>
      </c>
      <c r="B42" s="8" t="s">
        <v>101</v>
      </c>
      <c r="C42" s="31">
        <v>-2.1371634116343827</v>
      </c>
      <c r="D42" s="52"/>
      <c r="E42" s="8">
        <v>40</v>
      </c>
      <c r="F42" s="8" t="s">
        <v>113</v>
      </c>
      <c r="G42" s="31">
        <v>-0.40506102690380541</v>
      </c>
      <c r="H42" s="52"/>
      <c r="I42" s="8">
        <v>40</v>
      </c>
      <c r="J42" s="8" t="s">
        <v>157</v>
      </c>
      <c r="K42" s="31">
        <v>-1.1671561689398562</v>
      </c>
      <c r="L42" s="52"/>
      <c r="M42" s="8">
        <v>40</v>
      </c>
      <c r="N42" s="8" t="s">
        <v>89</v>
      </c>
      <c r="O42" s="31">
        <v>-1.5067754744753712</v>
      </c>
      <c r="P42" s="8"/>
      <c r="Q42" s="8">
        <v>40</v>
      </c>
      <c r="R42" s="8" t="s">
        <v>95</v>
      </c>
      <c r="S42" s="31">
        <v>-1.0168734442575442</v>
      </c>
      <c r="T42" s="52"/>
      <c r="U42" s="8">
        <v>40</v>
      </c>
      <c r="V42" s="8" t="s">
        <v>133</v>
      </c>
      <c r="W42" s="31">
        <v>-0.95682065802882788</v>
      </c>
      <c r="X42" s="8"/>
      <c r="Y42" s="8">
        <v>40</v>
      </c>
      <c r="Z42" s="8" t="s">
        <v>121</v>
      </c>
      <c r="AA42" s="31">
        <v>-1.0525974069929898</v>
      </c>
      <c r="AB42" s="8"/>
      <c r="AC42" s="8"/>
      <c r="AD42" s="8"/>
    </row>
    <row r="43" spans="1:30" x14ac:dyDescent="0.25">
      <c r="A43" s="8">
        <v>41</v>
      </c>
      <c r="B43" s="8" t="s">
        <v>107</v>
      </c>
      <c r="C43" s="31">
        <v>-2.1982498004126754</v>
      </c>
      <c r="D43" s="52"/>
      <c r="E43" s="8">
        <v>41</v>
      </c>
      <c r="F43" s="8" t="s">
        <v>101</v>
      </c>
      <c r="G43" s="31">
        <v>-0.44669273589685971</v>
      </c>
      <c r="H43" s="52"/>
      <c r="I43" s="8">
        <v>41</v>
      </c>
      <c r="J43" s="8" t="s">
        <v>133</v>
      </c>
      <c r="K43" s="31">
        <v>-1.2035779948068186</v>
      </c>
      <c r="L43" s="52"/>
      <c r="M43" s="8">
        <v>41</v>
      </c>
      <c r="N43" s="8" t="s">
        <v>77</v>
      </c>
      <c r="O43" s="31">
        <v>-1.8025568652220043</v>
      </c>
      <c r="P43" s="8"/>
      <c r="Q43" s="8">
        <v>41</v>
      </c>
      <c r="R43" s="8" t="s">
        <v>154</v>
      </c>
      <c r="S43" s="31">
        <v>-1.1045452694384423</v>
      </c>
      <c r="T43" s="52"/>
      <c r="U43" s="8">
        <v>41</v>
      </c>
      <c r="V43" s="8" t="s">
        <v>105</v>
      </c>
      <c r="W43" s="31">
        <v>-0.96675289499564565</v>
      </c>
      <c r="X43" s="8"/>
      <c r="Y43" s="8">
        <v>41</v>
      </c>
      <c r="Z43" s="8" t="s">
        <v>160</v>
      </c>
      <c r="AA43" s="31">
        <v>-1.0531293504827046</v>
      </c>
      <c r="AB43" s="8"/>
      <c r="AC43" s="8"/>
      <c r="AD43" s="8"/>
    </row>
    <row r="44" spans="1:30" x14ac:dyDescent="0.25">
      <c r="A44" s="8">
        <v>42</v>
      </c>
      <c r="B44" s="8" t="s">
        <v>121</v>
      </c>
      <c r="C44" s="31">
        <v>-2.2752473442492764</v>
      </c>
      <c r="D44" s="52"/>
      <c r="E44" s="8">
        <v>42</v>
      </c>
      <c r="F44" s="8" t="s">
        <v>157</v>
      </c>
      <c r="G44" s="31">
        <v>-0.47636109014686745</v>
      </c>
      <c r="H44" s="52"/>
      <c r="I44" s="8">
        <v>42</v>
      </c>
      <c r="J44" s="8" t="s">
        <v>160</v>
      </c>
      <c r="K44" s="31">
        <v>-1.5209355487745086</v>
      </c>
      <c r="L44" s="52"/>
      <c r="M44" s="8">
        <v>42</v>
      </c>
      <c r="N44" s="8" t="s">
        <v>143</v>
      </c>
      <c r="O44" s="31">
        <v>-2.0270167684932825</v>
      </c>
      <c r="P44" s="8"/>
      <c r="Q44" s="8">
        <v>42</v>
      </c>
      <c r="R44" s="8" t="s">
        <v>160</v>
      </c>
      <c r="S44" s="31">
        <v>-1.2698601203851942</v>
      </c>
      <c r="T44" s="52"/>
      <c r="U44" s="8">
        <v>42</v>
      </c>
      <c r="V44" s="8" t="s">
        <v>139</v>
      </c>
      <c r="W44" s="31">
        <v>-1.0414732623182774</v>
      </c>
      <c r="X44" s="8"/>
      <c r="Y44" s="8">
        <v>42</v>
      </c>
      <c r="Z44" s="8" t="s">
        <v>156</v>
      </c>
      <c r="AA44" s="31">
        <v>-1.1282673822270424</v>
      </c>
      <c r="AB44" s="8"/>
      <c r="AC44" s="8"/>
      <c r="AD44" s="8"/>
    </row>
    <row r="45" spans="1:30" x14ac:dyDescent="0.25">
      <c r="A45" s="8">
        <v>43</v>
      </c>
      <c r="B45" s="8" t="s">
        <v>81</v>
      </c>
      <c r="C45" s="31">
        <v>-2.3919927875567701</v>
      </c>
      <c r="D45" s="52"/>
      <c r="E45" s="8">
        <v>43</v>
      </c>
      <c r="F45" s="8" t="s">
        <v>137</v>
      </c>
      <c r="G45" s="31">
        <v>-0.51476890737415792</v>
      </c>
      <c r="H45" s="52"/>
      <c r="I45" s="8">
        <v>43</v>
      </c>
      <c r="J45" s="8" t="s">
        <v>121</v>
      </c>
      <c r="K45" s="31">
        <v>-1.7793619834928964</v>
      </c>
      <c r="L45" s="52"/>
      <c r="M45" s="8">
        <v>43</v>
      </c>
      <c r="N45" s="8" t="s">
        <v>91</v>
      </c>
      <c r="O45" s="31">
        <v>-2.2456493694337079</v>
      </c>
      <c r="P45" s="8"/>
      <c r="Q45" s="8">
        <v>43</v>
      </c>
      <c r="R45" s="8" t="s">
        <v>117</v>
      </c>
      <c r="S45" s="31">
        <v>-1.2764401747687864</v>
      </c>
      <c r="T45" s="52"/>
      <c r="U45" s="8">
        <v>43</v>
      </c>
      <c r="V45" s="8" t="s">
        <v>154</v>
      </c>
      <c r="W45" s="31">
        <v>-1.0611347541546885</v>
      </c>
      <c r="X45" s="8"/>
      <c r="Y45" s="8">
        <v>43</v>
      </c>
      <c r="Z45" s="8" t="s">
        <v>154</v>
      </c>
      <c r="AA45" s="31">
        <v>-1.1491454965618211</v>
      </c>
      <c r="AB45" s="8"/>
      <c r="AC45" s="8"/>
      <c r="AD45" s="8"/>
    </row>
    <row r="46" spans="1:30" x14ac:dyDescent="0.25">
      <c r="A46" s="8">
        <v>44</v>
      </c>
      <c r="B46" s="8" t="s">
        <v>152</v>
      </c>
      <c r="C46" s="31">
        <v>-2.451967454999993</v>
      </c>
      <c r="D46" s="52"/>
      <c r="E46" s="8">
        <v>44</v>
      </c>
      <c r="F46" s="8" t="s">
        <v>150</v>
      </c>
      <c r="G46" s="31">
        <v>-0.62035406398740056</v>
      </c>
      <c r="H46" s="52"/>
      <c r="I46" s="8">
        <v>44</v>
      </c>
      <c r="J46" s="8" t="s">
        <v>83</v>
      </c>
      <c r="K46" s="31">
        <v>-1.825891040824787</v>
      </c>
      <c r="L46" s="52"/>
      <c r="M46" s="8">
        <v>44</v>
      </c>
      <c r="N46" s="8" t="s">
        <v>160</v>
      </c>
      <c r="O46" s="31">
        <v>-2.5300137822235134</v>
      </c>
      <c r="P46" s="8"/>
      <c r="Q46" s="8">
        <v>44</v>
      </c>
      <c r="R46" s="8" t="s">
        <v>77</v>
      </c>
      <c r="S46" s="31">
        <v>-1.4130037289611308</v>
      </c>
      <c r="T46" s="52"/>
      <c r="U46" s="8">
        <v>44</v>
      </c>
      <c r="V46" s="8" t="s">
        <v>79</v>
      </c>
      <c r="W46" s="31">
        <v>-1.0833806804781652</v>
      </c>
      <c r="X46" s="8"/>
      <c r="Y46" s="8">
        <v>44</v>
      </c>
      <c r="Z46" s="8" t="s">
        <v>139</v>
      </c>
      <c r="AA46" s="31">
        <v>-1.2113342656882444</v>
      </c>
      <c r="AB46" s="8"/>
      <c r="AC46" s="8"/>
      <c r="AD46" s="8"/>
    </row>
    <row r="47" spans="1:30" x14ac:dyDescent="0.25">
      <c r="A47" s="8">
        <v>45</v>
      </c>
      <c r="B47" s="8" t="s">
        <v>154</v>
      </c>
      <c r="C47" s="31">
        <v>-2.5562268964217081</v>
      </c>
      <c r="D47" s="52"/>
      <c r="E47" s="8">
        <v>45</v>
      </c>
      <c r="F47" s="8" t="s">
        <v>75</v>
      </c>
      <c r="G47" s="31">
        <v>-0.91799291796434201</v>
      </c>
      <c r="H47" s="52"/>
      <c r="I47" s="8">
        <v>45</v>
      </c>
      <c r="J47" s="8" t="s">
        <v>154</v>
      </c>
      <c r="K47" s="31">
        <v>-1.9191401263246581</v>
      </c>
      <c r="L47" s="52"/>
      <c r="M47" s="8">
        <v>45</v>
      </c>
      <c r="N47" s="8" t="s">
        <v>153</v>
      </c>
      <c r="O47" s="31">
        <v>-2.9004401031005469</v>
      </c>
      <c r="P47" s="8"/>
      <c r="Q47" s="8">
        <v>45</v>
      </c>
      <c r="R47" s="8" t="s">
        <v>99</v>
      </c>
      <c r="S47" s="31">
        <v>-1.43058896314268</v>
      </c>
      <c r="T47" s="52"/>
      <c r="U47" s="8">
        <v>45</v>
      </c>
      <c r="V47" s="8" t="s">
        <v>119</v>
      </c>
      <c r="W47" s="31">
        <v>-1.0871101884863406</v>
      </c>
      <c r="X47" s="8"/>
      <c r="Y47" s="8">
        <v>45</v>
      </c>
      <c r="Z47" s="8" t="s">
        <v>133</v>
      </c>
      <c r="AA47" s="31">
        <v>-1.250769547910545</v>
      </c>
      <c r="AB47" s="8"/>
      <c r="AC47" s="8"/>
      <c r="AD47" s="8"/>
    </row>
    <row r="48" spans="1:30" x14ac:dyDescent="0.25">
      <c r="A48" s="8">
        <v>46</v>
      </c>
      <c r="B48" s="8" t="s">
        <v>83</v>
      </c>
      <c r="C48" s="31">
        <v>-2.5957166609325317</v>
      </c>
      <c r="D48" s="52"/>
      <c r="E48" s="8">
        <v>46</v>
      </c>
      <c r="F48" s="8" t="s">
        <v>67</v>
      </c>
      <c r="G48" s="31">
        <v>-1.2554356505812327</v>
      </c>
      <c r="H48" s="52"/>
      <c r="I48" s="8">
        <v>46</v>
      </c>
      <c r="J48" s="8" t="s">
        <v>77</v>
      </c>
      <c r="K48" s="31">
        <v>-2.9001553172542751</v>
      </c>
      <c r="L48" s="52"/>
      <c r="M48" s="8">
        <v>46</v>
      </c>
      <c r="N48" s="8" t="s">
        <v>139</v>
      </c>
      <c r="O48" s="31">
        <v>-3.1080831760596763</v>
      </c>
      <c r="P48" s="8"/>
      <c r="Q48" s="8">
        <v>46</v>
      </c>
      <c r="R48" s="8" t="s">
        <v>67</v>
      </c>
      <c r="S48" s="31">
        <v>-1.4525456385072875</v>
      </c>
      <c r="T48" s="52"/>
      <c r="U48" s="8">
        <v>46</v>
      </c>
      <c r="V48" s="8" t="s">
        <v>83</v>
      </c>
      <c r="W48" s="31">
        <v>-1.0937075081113021</v>
      </c>
      <c r="X48" s="8"/>
      <c r="Y48" s="8">
        <v>46</v>
      </c>
      <c r="Z48" s="8" t="s">
        <v>105</v>
      </c>
      <c r="AA48" s="31">
        <v>-1.3212438402001692</v>
      </c>
      <c r="AB48" s="8"/>
      <c r="AC48" s="8"/>
      <c r="AD48" s="8"/>
    </row>
    <row r="49" spans="1:30" x14ac:dyDescent="0.25">
      <c r="A49" s="8">
        <v>47</v>
      </c>
      <c r="B49" s="8" t="s">
        <v>119</v>
      </c>
      <c r="C49" s="31">
        <v>-2.6598477586051308</v>
      </c>
      <c r="D49" s="52"/>
      <c r="E49" s="8">
        <v>47</v>
      </c>
      <c r="F49" s="8" t="s">
        <v>79</v>
      </c>
      <c r="G49" s="31">
        <v>-1.4061743000826954</v>
      </c>
      <c r="H49" s="52"/>
      <c r="I49" s="8">
        <v>47</v>
      </c>
      <c r="J49" s="8" t="s">
        <v>156</v>
      </c>
      <c r="K49" s="31">
        <v>-3.8085941019649452</v>
      </c>
      <c r="L49" s="52"/>
      <c r="M49" s="8">
        <v>47</v>
      </c>
      <c r="N49" s="8" t="s">
        <v>157</v>
      </c>
      <c r="O49" s="31">
        <v>-3.6007546206945733</v>
      </c>
      <c r="P49" s="8"/>
      <c r="Q49" s="8">
        <v>47</v>
      </c>
      <c r="R49" s="8" t="s">
        <v>91</v>
      </c>
      <c r="S49" s="31">
        <v>-1.5269981659045708</v>
      </c>
      <c r="T49" s="52"/>
      <c r="U49" s="8">
        <v>47</v>
      </c>
      <c r="V49" s="8" t="s">
        <v>77</v>
      </c>
      <c r="W49" s="31">
        <v>-1.3805177852683537</v>
      </c>
      <c r="X49" s="8"/>
      <c r="Y49" s="8">
        <v>47</v>
      </c>
      <c r="Z49" s="8" t="s">
        <v>77</v>
      </c>
      <c r="AA49" s="31">
        <v>-1.6625410075015465</v>
      </c>
      <c r="AB49" s="8"/>
      <c r="AC49" s="8"/>
      <c r="AD49" s="8"/>
    </row>
    <row r="50" spans="1:30" x14ac:dyDescent="0.25">
      <c r="A50" s="8">
        <v>48</v>
      </c>
      <c r="B50" s="8" t="s">
        <v>67</v>
      </c>
      <c r="C50" s="31">
        <v>-2.8061649065875534</v>
      </c>
      <c r="D50" s="52"/>
      <c r="E50" s="8">
        <v>48</v>
      </c>
      <c r="F50" s="8" t="s">
        <v>85</v>
      </c>
      <c r="G50" s="31">
        <v>-1.4666287206084621</v>
      </c>
      <c r="H50" s="52"/>
      <c r="I50" s="8">
        <v>48</v>
      </c>
      <c r="J50" s="8" t="s">
        <v>85</v>
      </c>
      <c r="K50" s="31">
        <v>-3.946448166675852</v>
      </c>
      <c r="L50" s="52"/>
      <c r="M50" s="8">
        <v>48</v>
      </c>
      <c r="N50" s="8" t="s">
        <v>133</v>
      </c>
      <c r="O50" s="31">
        <v>-3.9338955381779108</v>
      </c>
      <c r="P50" s="8"/>
      <c r="Q50" s="8">
        <v>48</v>
      </c>
      <c r="R50" s="8" t="s">
        <v>113</v>
      </c>
      <c r="S50" s="31">
        <v>-1.6537933791595139</v>
      </c>
      <c r="T50" s="52"/>
      <c r="U50" s="8">
        <v>48</v>
      </c>
      <c r="V50" s="8" t="s">
        <v>85</v>
      </c>
      <c r="W50" s="31">
        <v>-2.000516009935601</v>
      </c>
      <c r="X50" s="8"/>
      <c r="Y50" s="8">
        <v>48</v>
      </c>
      <c r="Z50" s="8" t="s">
        <v>85</v>
      </c>
      <c r="AA50" s="31">
        <v>-1.8269713001247319</v>
      </c>
      <c r="AB50" s="8"/>
      <c r="AC50" s="8"/>
      <c r="AD50" s="8"/>
    </row>
    <row r="51" spans="1:30" x14ac:dyDescent="0.25">
      <c r="A51" s="8">
        <v>49</v>
      </c>
      <c r="B51" s="8" t="s">
        <v>85</v>
      </c>
      <c r="C51" s="31">
        <v>-2.8814927188844792</v>
      </c>
      <c r="D51" s="52"/>
      <c r="E51" s="8">
        <v>49</v>
      </c>
      <c r="F51" s="8" t="s">
        <v>103</v>
      </c>
      <c r="G51" s="31">
        <v>-2.5523793882919854</v>
      </c>
      <c r="H51" s="52"/>
      <c r="I51" s="8">
        <v>49</v>
      </c>
      <c r="J51" s="8" t="s">
        <v>67</v>
      </c>
      <c r="K51" s="31">
        <v>-5.2792247456275865</v>
      </c>
      <c r="L51" s="52"/>
      <c r="M51" s="8">
        <v>49</v>
      </c>
      <c r="N51" s="8" t="s">
        <v>105</v>
      </c>
      <c r="O51" s="31">
        <v>-4.6145116825064019</v>
      </c>
      <c r="P51" s="8"/>
      <c r="Q51" s="8">
        <v>49</v>
      </c>
      <c r="R51" s="8" t="s">
        <v>105</v>
      </c>
      <c r="S51" s="31">
        <v>-1.7136384267226343</v>
      </c>
      <c r="T51" s="52"/>
      <c r="U51" s="8">
        <v>49</v>
      </c>
      <c r="V51" s="8" t="s">
        <v>67</v>
      </c>
      <c r="W51" s="31">
        <v>-2.0479926922685392</v>
      </c>
      <c r="X51" s="8"/>
      <c r="Y51" s="8">
        <v>49</v>
      </c>
      <c r="Z51" s="8" t="s">
        <v>67</v>
      </c>
      <c r="AA51" s="31">
        <v>-2.0651851059526853</v>
      </c>
      <c r="AB51" s="8"/>
      <c r="AC51" s="8"/>
      <c r="AD51" s="8"/>
    </row>
    <row r="52" spans="1:30" x14ac:dyDescent="0.25">
      <c r="A52" s="8">
        <v>50</v>
      </c>
      <c r="B52" s="8" t="s">
        <v>156</v>
      </c>
      <c r="C52" s="31">
        <v>-2.910137426367573</v>
      </c>
      <c r="D52" s="52"/>
      <c r="E52" s="8">
        <v>50</v>
      </c>
      <c r="F52" s="8" t="s">
        <v>151</v>
      </c>
      <c r="G52" s="31">
        <v>-11.045455900705914</v>
      </c>
      <c r="H52" s="52"/>
      <c r="I52" s="8">
        <v>50</v>
      </c>
      <c r="J52" s="8" t="s">
        <v>103</v>
      </c>
      <c r="K52" s="31">
        <v>-5.5404982677584886</v>
      </c>
      <c r="L52" s="52"/>
      <c r="M52" s="8">
        <v>50</v>
      </c>
      <c r="N52" s="8" t="s">
        <v>111</v>
      </c>
      <c r="O52" s="31">
        <v>-4.772316060891642</v>
      </c>
      <c r="P52" s="8"/>
      <c r="Q52" s="8">
        <v>50</v>
      </c>
      <c r="R52" s="8" t="s">
        <v>151</v>
      </c>
      <c r="S52" s="31">
        <v>-1.8790096042964051</v>
      </c>
      <c r="T52" s="52"/>
      <c r="U52" s="8">
        <v>50</v>
      </c>
      <c r="V52" s="8" t="s">
        <v>103</v>
      </c>
      <c r="W52" s="31">
        <v>-2.1813321480212196</v>
      </c>
      <c r="X52" s="8"/>
      <c r="Y52" s="8">
        <v>50</v>
      </c>
      <c r="Z52" s="8" t="s">
        <v>103</v>
      </c>
      <c r="AA52" s="31">
        <v>-2.1362100054106512</v>
      </c>
      <c r="AB52" s="8"/>
      <c r="AC52" s="8"/>
      <c r="AD52" s="8"/>
    </row>
    <row r="53" spans="1:30" x14ac:dyDescent="0.25">
      <c r="A53" s="8"/>
      <c r="B53" s="8"/>
      <c r="C53" s="8"/>
      <c r="D53" s="8"/>
      <c r="E53" s="8"/>
      <c r="F53" s="8"/>
      <c r="G53" s="31"/>
      <c r="H53" s="8"/>
      <c r="I53" s="8"/>
      <c r="J53" s="8"/>
      <c r="K53" s="31"/>
      <c r="L53" s="8"/>
      <c r="M53" s="8"/>
      <c r="N53" s="8"/>
      <c r="O53" s="31"/>
      <c r="P53" s="8"/>
      <c r="Q53" s="8"/>
      <c r="R53" s="8"/>
      <c r="S53" s="31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x14ac:dyDescent="0.25">
      <c r="A54" s="8"/>
      <c r="B54" s="8"/>
      <c r="C54" s="8"/>
      <c r="D54" s="8"/>
      <c r="E54" s="8"/>
      <c r="F54" s="8"/>
      <c r="G54" s="31"/>
      <c r="H54" s="8"/>
      <c r="I54" s="8"/>
      <c r="J54" s="8"/>
      <c r="K54" s="31"/>
      <c r="L54" s="8"/>
      <c r="M54" s="8"/>
      <c r="N54" s="8"/>
      <c r="O54" s="31"/>
      <c r="P54" s="8"/>
      <c r="Q54" s="8"/>
      <c r="R54" s="8"/>
      <c r="S54" s="31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x14ac:dyDescent="0.25">
      <c r="A55" s="8"/>
      <c r="B55" s="8"/>
      <c r="C55" s="8"/>
      <c r="D55" s="8"/>
      <c r="E55" s="8"/>
      <c r="F55" s="8"/>
      <c r="G55" s="31"/>
      <c r="H55" s="8"/>
      <c r="I55" s="8"/>
      <c r="J55" s="8"/>
      <c r="K55" s="31"/>
      <c r="L55" s="8"/>
      <c r="M55" s="8"/>
      <c r="N55" s="8"/>
      <c r="O55" s="31"/>
      <c r="P55" s="8"/>
      <c r="Q55" s="8"/>
      <c r="R55" s="8"/>
      <c r="S55" s="31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x14ac:dyDescent="0.25">
      <c r="A56" s="8"/>
      <c r="B56" s="8"/>
      <c r="C56" s="8"/>
      <c r="D56" s="8"/>
      <c r="E56" s="8"/>
      <c r="F56" s="8"/>
      <c r="G56" s="31"/>
      <c r="H56" s="8"/>
      <c r="I56" s="8"/>
      <c r="J56" s="8"/>
      <c r="K56" s="31"/>
      <c r="L56" s="8"/>
      <c r="M56" s="8"/>
      <c r="N56" s="8"/>
      <c r="O56" s="31"/>
      <c r="P56" s="8"/>
      <c r="Q56" s="8"/>
      <c r="R56" s="8"/>
      <c r="S56" s="31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x14ac:dyDescent="0.25">
      <c r="A57" s="8"/>
      <c r="B57" s="8"/>
      <c r="C57" s="8"/>
      <c r="D57" s="8"/>
      <c r="E57" s="8"/>
      <c r="F57" s="8"/>
      <c r="G57" s="31"/>
      <c r="H57" s="8"/>
      <c r="I57" s="8"/>
      <c r="J57" s="8"/>
      <c r="K57" s="31"/>
      <c r="L57" s="8"/>
      <c r="M57" s="8"/>
      <c r="N57" s="8"/>
      <c r="O57" s="31"/>
      <c r="P57" s="8"/>
      <c r="Q57" s="8"/>
      <c r="R57" s="8"/>
      <c r="S57" s="31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x14ac:dyDescent="0.25">
      <c r="A58" s="8"/>
      <c r="B58" s="8"/>
      <c r="C58" s="8"/>
      <c r="D58" s="8"/>
      <c r="E58" s="8"/>
      <c r="F58" s="8"/>
      <c r="G58" s="31"/>
      <c r="H58" s="8"/>
      <c r="I58" s="8"/>
      <c r="J58" s="8"/>
      <c r="K58" s="31"/>
      <c r="L58" s="8"/>
      <c r="M58" s="8"/>
      <c r="N58" s="8"/>
      <c r="O58" s="31"/>
      <c r="P58" s="8"/>
      <c r="Q58" s="8"/>
      <c r="R58" s="8"/>
      <c r="S58" s="31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x14ac:dyDescent="0.25">
      <c r="A59" s="8"/>
      <c r="B59" s="8"/>
      <c r="C59" s="8"/>
      <c r="D59" s="8"/>
      <c r="E59" s="8"/>
      <c r="F59" s="8"/>
      <c r="G59" s="31"/>
      <c r="H59" s="8"/>
      <c r="I59" s="8"/>
      <c r="J59" s="8"/>
      <c r="K59" s="31"/>
      <c r="L59" s="8"/>
      <c r="M59" s="8"/>
      <c r="N59" s="8"/>
      <c r="O59" s="31"/>
      <c r="P59" s="8"/>
      <c r="Q59" s="8"/>
      <c r="R59" s="8"/>
      <c r="S59" s="31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</sheetData>
  <mergeCells count="2">
    <mergeCell ref="U1:W1"/>
    <mergeCell ref="Y1:AA1"/>
  </mergeCells>
  <pageMargins left="0.75" right="0.75" top="1" bottom="1" header="0.5" footer="0.5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46E57112454245B3E13911F8AD4746" ma:contentTypeVersion="1" ma:contentTypeDescription="Create a new document." ma:contentTypeScope="" ma:versionID="fec8e9eeb265cb1316c693d18d856cd9">
  <xsd:schema xmlns:xsd="http://www.w3.org/2001/XMLSchema" xmlns:xs="http://www.w3.org/2001/XMLSchema" xmlns:p="http://schemas.microsoft.com/office/2006/metadata/properties" xmlns:ns2="0b95ef3a-d33f-4088-8fdb-d5301502601b" targetNamespace="http://schemas.microsoft.com/office/2006/metadata/properties" ma:root="true" ma:fieldsID="3897dd333043c8ea0419cb8f1d3a79ad" ns2:_="">
    <xsd:import namespace="0b95ef3a-d33f-4088-8fdb-d5301502601b"/>
    <xsd:element name="properties">
      <xsd:complexType>
        <xsd:sequence>
          <xsd:element name="documentManagement">
            <xsd:complexType>
              <xsd:all>
                <xsd:element ref="ns2:_x0032_015_x0020_and_x0020_2016_x0020_basic_x0020_metric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5ef3a-d33f-4088-8fdb-d5301502601b" elementFormDefault="qualified">
    <xsd:import namespace="http://schemas.microsoft.com/office/2006/documentManagement/types"/>
    <xsd:import namespace="http://schemas.microsoft.com/office/infopath/2007/PartnerControls"/>
    <xsd:element name="_x0032_015_x0020_and_x0020_2016_x0020_basic_x0020_metrics" ma:index="8" nillable="true" ma:displayName="Notes" ma:internalName="_x0032_015_x0020_and_x0020_2016_x0020_basic_x0020_metric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5_x0020_and_x0020_2016_x0020_basic_x0020_metrics xmlns="0b95ef3a-d33f-4088-8fdb-d5301502601b" xsi:nil="true"/>
  </documentManagement>
</p:properties>
</file>

<file path=customXml/itemProps1.xml><?xml version="1.0" encoding="utf-8"?>
<ds:datastoreItem xmlns:ds="http://schemas.openxmlformats.org/officeDocument/2006/customXml" ds:itemID="{28EF5A8B-48D1-4459-A4AC-F91901E64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95ef3a-d33f-4088-8fdb-d53015026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7C87F3-CE62-49E5-92E6-69FDEA6DA6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DB3327-5FB3-4D02-B84A-BFA1C5E24A6F}">
  <ds:schemaRefs>
    <ds:schemaRef ds:uri="http://purl.org/dc/elements/1.1/"/>
    <ds:schemaRef ds:uri="http://purl.org/dc/terms/"/>
    <ds:schemaRef ds:uri="http://purl.org/dc/dcmitype/"/>
    <ds:schemaRef ds:uri="0b95ef3a-d33f-4088-8fdb-d5301502601b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Dataset</vt:lpstr>
      <vt:lpstr>standardized values</vt:lpstr>
      <vt:lpstr>cash outliers</vt:lpstr>
      <vt:lpstr>rankings</vt:lpstr>
    </vt:vector>
  </TitlesOfParts>
  <Company>Mercatus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Norcross</dc:creator>
  <cp:lastModifiedBy>Olivia Gonzalez</cp:lastModifiedBy>
  <dcterms:created xsi:type="dcterms:W3CDTF">2015-02-18T17:49:37Z</dcterms:created>
  <dcterms:modified xsi:type="dcterms:W3CDTF">2017-07-11T20:34:09Z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0x010100F946E57112454245B3E13911F8AD4746</vt:lpwstr>
  </property>
</Properties>
</file>